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https://connectiontechnology-my.sharepoint.com/personal/mkuzara_ctconline_com/Documents/Desktop/General Certifications/CMRT and EMRT/"/>
    </mc:Choice>
  </mc:AlternateContent>
  <xr:revisionPtr revIDLastSave="137" documentId="8_{A9828CFB-950E-4BB9-84DB-35077A8499A5}" xr6:coauthVersionLast="47" xr6:coauthVersionMax="47" xr10:uidLastSave="{A975F0D7-87B0-4DC6-A06F-EF47E08F62AE}"/>
  <workbookProtection workbookAlgorithmName="SHA-512" workbookHashValue="eA6HOTzdAarwbQz07odMoYr1/Ilj2HgXf+Dnnvk1HbEAsBU4tAvzZCHfQC2uJSbXIctTl7Y0RMtjOQcv6HdYSQ==" workbookSaltValue="LmZPdPH7pPthDTrBtLy9Fg==" workbookSpinCount="100000" lockStructure="1"/>
  <bookViews>
    <workbookView xWindow="54495" yWindow="-2520" windowWidth="26010" windowHeight="209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5" i="5" l="1"/>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E6" i="5"/>
  <c r="S6" i="5"/>
  <c r="T6" i="5"/>
  <c r="V7" i="5"/>
  <c r="J7" i="5"/>
  <c r="E7" i="5"/>
  <c r="S7" i="5"/>
  <c r="T7" i="5"/>
  <c r="V8" i="5"/>
  <c r="J8" i="5"/>
  <c r="E8" i="5"/>
  <c r="S8" i="5"/>
  <c r="T8" i="5"/>
  <c r="V9" i="5"/>
  <c r="J9" i="5"/>
  <c r="E9" i="5"/>
  <c r="S9" i="5"/>
  <c r="T9" i="5"/>
  <c r="V10" i="5"/>
  <c r="J10" i="5"/>
  <c r="E10" i="5"/>
  <c r="S10" i="5"/>
  <c r="T10" i="5"/>
  <c r="V11" i="5"/>
  <c r="J11" i="5"/>
  <c r="E11" i="5"/>
  <c r="S11" i="5"/>
  <c r="T11" i="5"/>
  <c r="V12" i="5"/>
  <c r="J12" i="5"/>
  <c r="E12" i="5"/>
  <c r="S12" i="5"/>
  <c r="T12" i="5"/>
  <c r="V13" i="5"/>
  <c r="J13" i="5"/>
  <c r="E13" i="5"/>
  <c r="S13" i="5"/>
  <c r="T13" i="5"/>
  <c r="V14" i="5"/>
  <c r="J14" i="5"/>
  <c r="E14" i="5"/>
  <c r="S14" i="5"/>
  <c r="T14" i="5"/>
  <c r="V15" i="5"/>
  <c r="J15" i="5"/>
  <c r="E15" i="5"/>
  <c r="S15" i="5"/>
  <c r="T15" i="5"/>
  <c r="V16" i="5"/>
  <c r="J16" i="5"/>
  <c r="E16" i="5"/>
  <c r="S16" i="5"/>
  <c r="T16" i="5"/>
  <c r="V17" i="5"/>
  <c r="J17" i="5"/>
  <c r="E17" i="5"/>
  <c r="S17" i="5"/>
  <c r="T17" i="5"/>
  <c r="V18" i="5"/>
  <c r="J18" i="5"/>
  <c r="E18" i="5"/>
  <c r="S18" i="5"/>
  <c r="T18" i="5"/>
  <c r="V19" i="5"/>
  <c r="J19" i="5"/>
  <c r="E19" i="5"/>
  <c r="S19" i="5"/>
  <c r="T19" i="5"/>
  <c r="V20" i="5"/>
  <c r="J20" i="5"/>
  <c r="E20" i="5"/>
  <c r="S20" i="5"/>
  <c r="T20" i="5"/>
  <c r="V21" i="5"/>
  <c r="J21" i="5"/>
  <c r="E21" i="5"/>
  <c r="S21" i="5"/>
  <c r="T21" i="5"/>
  <c r="V22" i="5"/>
  <c r="J22" i="5"/>
  <c r="E22" i="5"/>
  <c r="S22" i="5"/>
  <c r="T22" i="5"/>
  <c r="V23" i="5"/>
  <c r="J23" i="5"/>
  <c r="E23" i="5"/>
  <c r="S23" i="5"/>
  <c r="T23" i="5"/>
  <c r="V24" i="5"/>
  <c r="J24" i="5"/>
  <c r="E24" i="5"/>
  <c r="S24" i="5"/>
  <c r="T24" i="5"/>
  <c r="V25" i="5"/>
  <c r="J25" i="5"/>
  <c r="E25" i="5"/>
  <c r="S25" i="5"/>
  <c r="T25" i="5"/>
  <c r="V26" i="5"/>
  <c r="J26" i="5"/>
  <c r="E26" i="5"/>
  <c r="S26" i="5"/>
  <c r="T26" i="5"/>
  <c r="V27" i="5"/>
  <c r="J27" i="5"/>
  <c r="E27" i="5"/>
  <c r="S27" i="5"/>
  <c r="T27" i="5"/>
  <c r="V28" i="5"/>
  <c r="J28" i="5"/>
  <c r="E28" i="5"/>
  <c r="S28" i="5"/>
  <c r="T28" i="5"/>
  <c r="V29" i="5"/>
  <c r="J29" i="5"/>
  <c r="E29" i="5"/>
  <c r="S29" i="5"/>
  <c r="T29" i="5"/>
  <c r="V30" i="5"/>
  <c r="J30" i="5"/>
  <c r="E30" i="5"/>
  <c r="S30" i="5"/>
  <c r="T30" i="5"/>
  <c r="V31" i="5"/>
  <c r="J31" i="5"/>
  <c r="E31" i="5"/>
  <c r="S31" i="5"/>
  <c r="T31" i="5"/>
  <c r="V32" i="5"/>
  <c r="J32" i="5"/>
  <c r="E32" i="5"/>
  <c r="S32" i="5"/>
  <c r="T32" i="5"/>
  <c r="V33" i="5"/>
  <c r="J33" i="5"/>
  <c r="E33" i="5"/>
  <c r="S33" i="5"/>
  <c r="T33" i="5"/>
  <c r="V34" i="5"/>
  <c r="J34" i="5"/>
  <c r="E34" i="5"/>
  <c r="S34" i="5"/>
  <c r="T34" i="5"/>
  <c r="V35" i="5"/>
  <c r="J35" i="5"/>
  <c r="E35" i="5"/>
  <c r="S35" i="5"/>
  <c r="T35" i="5"/>
  <c r="V36" i="5"/>
  <c r="J36" i="5"/>
  <c r="E36" i="5"/>
  <c r="S36" i="5"/>
  <c r="T36" i="5"/>
  <c r="V37" i="5"/>
  <c r="J37" i="5"/>
  <c r="E37" i="5"/>
  <c r="S37" i="5"/>
  <c r="T37" i="5"/>
  <c r="V38" i="5"/>
  <c r="J38" i="5"/>
  <c r="E38" i="5"/>
  <c r="S38" i="5"/>
  <c r="T38" i="5"/>
  <c r="V39" i="5"/>
  <c r="J39" i="5"/>
  <c r="E39" i="5"/>
  <c r="S39" i="5"/>
  <c r="T39" i="5"/>
  <c r="V40" i="5"/>
  <c r="J40" i="5"/>
  <c r="E40" i="5"/>
  <c r="S40" i="5"/>
  <c r="T40" i="5"/>
  <c r="V41" i="5"/>
  <c r="J41" i="5"/>
  <c r="E41" i="5"/>
  <c r="S41" i="5"/>
  <c r="T41" i="5"/>
  <c r="V42" i="5"/>
  <c r="J42" i="5"/>
  <c r="E42" i="5"/>
  <c r="S42" i="5"/>
  <c r="T42" i="5"/>
  <c r="V43" i="5"/>
  <c r="J43" i="5"/>
  <c r="T43" i="5"/>
  <c r="V44" i="5"/>
  <c r="J44" i="5"/>
  <c r="E44" i="5"/>
  <c r="S44" i="5"/>
  <c r="T44" i="5"/>
  <c r="V45" i="5"/>
  <c r="J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X31" i="5"/>
  <c r="I31" i="5"/>
  <c r="F31" i="5"/>
  <c r="F113" i="5"/>
  <c r="X113" i="5"/>
  <c r="R113" i="5"/>
  <c r="H155" i="5"/>
  <c r="R155" i="5"/>
  <c r="J155" i="5"/>
  <c r="I155" i="5"/>
  <c r="X155" i="5"/>
  <c r="F155" i="5"/>
  <c r="H203" i="5"/>
  <c r="R203" i="5"/>
  <c r="J203" i="5"/>
  <c r="I203" i="5"/>
  <c r="X203" i="5"/>
  <c r="F203" i="5"/>
  <c r="R249" i="5"/>
  <c r="F24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AB34" i="5"/>
  <c r="I36" i="5"/>
  <c r="F37" i="5"/>
  <c r="F38" i="5"/>
  <c r="AB38" i="5"/>
  <c r="I40" i="5"/>
  <c r="F41" i="5"/>
  <c r="F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F28" i="5"/>
  <c r="H20" i="5"/>
  <c r="H114" i="5"/>
  <c r="F118" i="5"/>
  <c r="R118" i="5"/>
  <c r="J118" i="5"/>
  <c r="X5" i="5"/>
  <c r="I20" i="5"/>
  <c r="F24" i="5"/>
  <c r="I28"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H33" i="5"/>
  <c r="AB37" i="5"/>
  <c r="H40" i="5"/>
  <c r="F40"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AB33" i="5"/>
  <c r="H36" i="5"/>
  <c r="F36" i="5"/>
  <c r="H37" i="5"/>
  <c r="AB41" i="5"/>
  <c r="H44" i="5"/>
  <c r="F44"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<sst xmlns="http://schemas.openxmlformats.org/spreadsheetml/2006/main" count="22425" uniqueCount="15828">
  <si>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</si>
  <si>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</si>
  <si>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</si>
  <si>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</si>
  <si>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</si>
  <si>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</si>
  <si>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</si>
  <si>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</si>
  <si>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</si>
  <si>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</si>
  <si>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</si>
  <si>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</si>
  <si>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</si>
  <si>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</si>
  <si>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</si>
  <si>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</si>
  <si>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</si>
  <si>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</si>
  <si>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</si>
  <si>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</si>
  <si>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</si>
  <si>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</si>
  <si>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</si>
  <si>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</si>
  <si>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</si>
  <si>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</si>
  <si>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</si>
  <si>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</si>
  <si>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</si>
  <si>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</si>
  <si>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</si>
  <si>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</si>
  <si>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</si>
  <si>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</si>
  <si>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</si>
  <si>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</si>
  <si>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</si>
  <si>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</si>
  <si>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</si>
  <si>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</si>
  <si>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</si>
  <si>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</si>
  <si>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</si>
  <si>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</si>
  <si>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</si>
  <si>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</si>
  <si>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</si>
  <si>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</si>
  <si>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</si>
  <si>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</si>
  <si>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</si>
  <si>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</si>
  <si>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</si>
  <si>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</si>
  <si>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</si>
  <si>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</si>
  <si>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</si>
  <si>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</si>
  <si>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</si>
  <si>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</si>
  <si>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</si>
  <si>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</si>
  <si>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</si>
  <si>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</si>
  <si>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</si>
  <si>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</si>
  <si>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</si>
  <si>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</si>
  <si>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</si>
  <si>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</si>
  <si>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</si>
  <si>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</si>
  <si>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</si>
  <si>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</si>
  <si>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</si>
  <si>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</si>
  <si>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</si>
  <si>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</si>
  <si>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</si>
  <si>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</si>
  <si>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</si>
  <si>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</si>
  <si>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</si>
  <si>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</si>
  <si>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</si>
  <si>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</si>
  <si>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</si>
  <si>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</si>
  <si>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</si>
  <si>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</si>
  <si>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</si>
  <si>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</si>
  <si>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</si>
  <si>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</si>
  <si>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</si>
  <si>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</si>
  <si>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</si>
  <si>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</si>
  <si>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</si>
  <si>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</si>
  <si>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</si>
  <si>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</si>
  <si>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</si>
  <si>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</si>
  <si>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</si>
  <si>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</si>
  <si>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</si>
  <si>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</si>
  <si>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</si>
  <si>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</si>
  <si>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</si>
  <si>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</si>
  <si>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</si>
  <si>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</si>
  <si>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</si>
  <si>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</si>
  <si>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</si>
  <si>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</si>
  <si>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</si>
  <si>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</si>
  <si>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</si>
  <si>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</si>
  <si>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</si>
  <si>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</si>
  <si>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</si>
  <si>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</si>
  <si>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</si>
  <si>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</si>
  <si>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</si>
  <si>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</si>
  <si>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</si>
  <si>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</si>
  <si>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</si>
  <si>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</si>
  <si>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</si>
  <si>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</si>
  <si>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</si>
  <si>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</si>
  <si>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</si>
  <si>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</si>
  <si>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</si>
  <si>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</si>
  <si>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</si>
  <si>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</si>
  <si>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</si>
  <si>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</si>
  <si>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</si>
  <si>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</si>
  <si>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</si>
  <si>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</si>
  <si>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</si>
  <si>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</si>
  <si>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</si>
  <si>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</si>
  <si>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</si>
  <si>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</si>
  <si>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</si>
  <si>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</si>
  <si>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</si>
  <si>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</si>
  <si>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</si>
  <si>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</si>
  <si>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</si>
  <si>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</si>
  <si>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</si>
  <si>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</si>
  <si>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</si>
  <si>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</si>
  <si>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</si>
  <si>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</si>
  <si>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</si>
  <si>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</si>
  <si>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</si>
  <si>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</si>
  <si>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</si>
  <si>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</si>
  <si>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</si>
  <si>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</si>
  <si>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</si>
  <si>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</si>
  <si>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</si>
  <si>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</si>
  <si>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</si>
  <si>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</si>
  <si>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</si>
  <si>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</si>
  <si>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</si>
  <si>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</si>
  <si>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</si>
  <si>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</si>
  <si>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</si>
  <si>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</si>
  <si>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</si>
  <si>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</si>
  <si>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</si>
  <si>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</si>
  <si>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</si>
  <si>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</si>
  <si>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</si>
  <si>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</si>
  <si>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</si>
  <si>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</si>
  <si>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</si>
  <si>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</si>
  <si>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</si>
  <si>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</si>
  <si>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</si>
  <si>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</si>
  <si>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</si>
  <si>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</si>
  <si>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</si>
  <si>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</si>
  <si>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</si>
  <si>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</si>
  <si>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</si>
  <si>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</si>
  <si>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</si>
  <si>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</si>
  <si>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</si>
  <si>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</si>
  <si>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</si>
  <si>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</si>
  <si>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</si>
  <si>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</si>
  <si>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</si>
  <si>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</si>
  <si>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</si>
  <si>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</si>
  <si>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</si>
  <si>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</si>
  <si>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</si>
  <si>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</si>
  <si>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</si>
  <si>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</si>
  <si>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</si>
  <si>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</si>
  <si>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</si>
  <si>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</si>
  <si>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</si>
  <si>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</si>
  <si>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</si>
  <si>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</si>
  <si>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</si>
  <si>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</si>
  <si>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</si>
  <si>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</si>
  <si>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</si>
  <si>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</si>
  <si>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</si>
  <si>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</si>
  <si>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</si>
  <si>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</si>
  <si>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</si>
  <si>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</si>
  <si>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</si>
  <si>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</si>
  <si>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</si>
  <si>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</si>
  <si>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</si>
  <si>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</si>
  <si>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</si>
  <si>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</si>
  <si>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</si>
  <si>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</si>
  <si>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</si>
  <si>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</si>
  <si>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</si>
  <si>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</si>
  <si>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</si>
  <si>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</si>
  <si>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</si>
  <si>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</si>
  <si>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</si>
  <si>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</si>
  <si>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</si>
  <si>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</si>
  <si>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</si>
  <si>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</si>
  <si>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</si>
  <si>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</si>
  <si>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</si>
  <si>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</si>
  <si>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</si>
  <si>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</si>
  <si>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</si>
  <si>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</si>
  <si>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</si>
  <si>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</si>
  <si>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</si>
  <si>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</si>
  <si>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</si>
  <si>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</si>
  <si>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</si>
  <si>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</si>
  <si>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</si>
  <si>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</si>
  <si>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</si>
  <si>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</si>
  <si>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</si>
  <si>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</si>
  <si>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</si>
  <si>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</si>
  <si>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</si>
  <si>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</si>
  <si>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</si>
  <si>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</si>
  <si>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</si>
  <si>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</si>
  <si>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</si>
  <si>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</si>
  <si>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</si>
  <si>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</si>
  <si>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</si>
  <si>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</si>
  <si>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</si>
  <si>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</si>
  <si>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</si>
  <si>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</si>
  <si>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</si>
  <si>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</si>
  <si>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</si>
  <si>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</si>
  <si>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</si>
  <si>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</si>
  <si>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</si>
  <si>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</si>
  <si>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</si>
  <si>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</si>
  <si>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</si>
  <si>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</si>
  <si>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</si>
  <si>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</si>
  <si>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</si>
  <si>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</si>
  <si>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</si>
  <si>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</si>
  <si>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</si>
  <si>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</si>
  <si>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</si>
  <si>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</si>
  <si>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</si>
  <si>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</si>
  <si>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</si>
  <si>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</si>
  <si>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</si>
  <si>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</si>
  <si>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</si>
  <si>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</si>
  <si>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</si>
  <si>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</si>
  <si>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</si>
  <si>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</si>
  <si>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</si>
  <si>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</si>
  <si>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</si>
  <si>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</si>
  <si>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</si>
  <si>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</si>
  <si>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</si>
  <si>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</si>
  <si>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</si>
  <si>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</si>
  <si>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</si>
  <si>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</si>
  <si>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</si>
  <si>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</si>
  <si>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</si>
  <si>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</si>
  <si>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</si>
  <si>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</si>
  <si>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</si>
  <si>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</si>
  <si>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</si>
  <si>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</si>
  <si>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</si>
  <si>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</si>
  <si>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</si>
  <si>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</si>
  <si>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</si>
  <si>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</si>
  <si>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</si>
  <si>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</si>
  <si>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</si>
  <si>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</si>
  <si>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</si>
  <si>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</si>
  <si>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</si>
  <si>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</si>
  <si>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</si>
  <si>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</si>
  <si>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</si>
  <si>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</si>
  <si>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</si>
  <si>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</si>
  <si>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</si>
  <si>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</si>
  <si>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</si>
  <si>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</si>
  <si>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</si>
  <si>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</si>
  <si>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</si>
  <si>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</si>
  <si>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</si>
  <si>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</si>
  <si>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</si>
  <si>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</si>
  <si>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</si>
  <si>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</si>
  <si>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</si>
  <si>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</si>
  <si>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</si>
  <si>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</si>
  <si>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</si>
  <si>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</si>
  <si>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</si>
  <si>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</si>
  <si>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</si>
  <si>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</si>
  <si>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</si>
  <si>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</si>
  <si>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</si>
  <si>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</si>
  <si>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</si>
  <si>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</si>
  <si>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</si>
  <si>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</si>
  <si>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</si>
  <si>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</si>
  <si>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</si>
  <si>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</si>
  <si>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</si>
  <si>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</si>
  <si>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</si>
  <si>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</si>
  <si>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</si>
  <si>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</si>
  <si>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</si>
  <si>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</si>
  <si>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</si>
  <si>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</si>
  <si>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</si>
  <si>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</si>
  <si>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</si>
  <si>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</si>
  <si>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</si>
  <si>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</si>
  <si>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</si>
  <si>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</si>
  <si>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</si>
  <si>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</si>
  <si>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</si>
  <si>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</si>
  <si>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</si>
  <si>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</si>
  <si>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</si>
  <si>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</si>
  <si>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</si>
  <si>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</si>
  <si>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</si>
  <si>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</si>
  <si>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</si>
  <si>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</si>
  <si>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</si>
  <si>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</si>
  <si>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</si>
  <si>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</si>
  <si>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</si>
  <si>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</si>
  <si>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</si>
  <si>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</si>
  <si>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</si>
  <si>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</si>
  <si>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</si>
  <si>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</si>
  <si>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</si>
  <si>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</si>
  <si>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</si>
  <si>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</si>
  <si>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</si>
  <si>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</si>
  <si>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</si>
  <si>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</si>
  <si>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</si>
  <si>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</si>
  <si>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</si>
  <si>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</si>
  <si>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</si>
  <si>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</si>
  <si>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</si>
  <si>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</si>
  <si>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</si>
  <si>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</si>
  <si>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</si>
  <si>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</si>
  <si>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</si>
  <si>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</si>
  <si>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</si>
  <si>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</si>
  <si>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</si>
  <si>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</si>
  <si>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</si>
  <si>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</si>
  <si>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</si>
  <si>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</si>
  <si>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</si>
  <si>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</si>
  <si>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</si>
  <si>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</si>
  <si>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</si>
  <si>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</si>
  <si>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</si>
  <si>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</si>
  <si>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</si>
  <si>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</si>
  <si>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</si>
  <si>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</si>
  <si>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</si>
  <si>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</si>
  <si>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</si>
  <si>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</si>
  <si>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</si>
  <si>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</si>
  <si>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</si>
  <si>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</si>
  <si>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</si>
  <si>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</si>
  <si>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</si>
  <si>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</si>
  <si>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</si>
  <si>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</si>
  <si>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</si>
  <si>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</si>
  <si>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</si>
  <si>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</si>
  <si>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</si>
  <si>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</si>
  <si>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</si>
  <si>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</si>
  <si>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</si>
  <si>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</si>
  <si>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</si>
  <si>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</si>
  <si>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</si>
  <si>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</si>
  <si>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</si>
  <si>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</si>
  <si>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</si>
  <si>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</si>
  <si>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</si>
  <si>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</si>
  <si>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</si>
  <si>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</si>
  <si>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</si>
  <si>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</si>
  <si>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</si>
  <si>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</si>
  <si>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</si>
  <si>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</si>
  <si>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</si>
  <si>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</si>
  <si>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</si>
  <si>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</si>
  <si>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</si>
  <si>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</si>
  <si>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</si>
  <si>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</si>
  <si>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</si>
  <si>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</si>
  <si>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</si>
  <si>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</si>
  <si>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</si>
  <si>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</si>
  <si>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</si>
  <si>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</si>
  <si>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</si>
  <si>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</si>
  <si>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</si>
  <si>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</si>
  <si>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</si>
  <si>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</si>
  <si>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</si>
  <si>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</si>
  <si>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</si>
  <si>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</si>
  <si>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</si>
  <si>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</si>
  <si>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</si>
  <si>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</si>
  <si>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</si>
  <si>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</si>
  <si>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</si>
  <si>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</si>
  <si>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</si>
  <si>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</si>
  <si>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</si>
  <si>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</si>
  <si>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</si>
  <si>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</si>
  <si>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</si>
  <si>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</si>
  <si>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</si>
  <si>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</si>
  <si>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</si>
  <si>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</si>
  <si>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</si>
  <si>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</si>
  <si>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</si>
  <si>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</si>
  <si>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</si>
  <si>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</si>
  <si>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</si>
  <si>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</si>
  <si>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</si>
  <si>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</si>
  <si>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</si>
  <si>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</si>
  <si>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</si>
  <si>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</si>
  <si>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</si>
  <si>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</si>
  <si>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</si>
  <si>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</si>
  <si>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</si>
  <si>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</si>
  <si>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</si>
  <si>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</si>
  <si>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</si>
  <si>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</si>
  <si>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</si>
  <si>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</si>
  <si>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</si>
  <si>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</si>
  <si>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</si>
  <si>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</si>
  <si>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</si>
  <si>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</si>
  <si>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</si>
  <si>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</si>
  <si>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</si>
  <si>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</si>
  <si>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</si>
  <si>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</si>
  <si>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</si>
  <si>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</si>
  <si>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</si>
  <si>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</si>
  <si>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</si>
  <si>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</si>
  <si>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</si>
  <si>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</si>
  <si>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</si>
  <si>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</si>
  <si>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</si>
  <si>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</si>
  <si>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</si>
  <si>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</si>
  <si>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</si>
  <si>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</si>
  <si>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</si>
  <si>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</si>
  <si>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</si>
  <si>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</si>
  <si>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</si>
  <si>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</si>
  <si>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</si>
  <si>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</si>
  <si>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</si>
  <si>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</si>
  <si>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</si>
  <si>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</si>
  <si>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</si>
  <si>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</si>
  <si>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</si>
  <si>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</si>
  <si>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</si>
  <si>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</si>
  <si>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</si>
  <si>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</si>
  <si>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</si>
  <si>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</si>
  <si>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</si>
  <si>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</si>
  <si>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</si>
  <si>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</si>
  <si>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</si>
  <si>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</si>
  <si>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</si>
  <si>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</si>
  <si>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</si>
  <si>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</si>
  <si>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</si>
  <si>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</si>
  <si>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</si>
  <si>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</si>
  <si>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</si>
  <si>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</si>
  <si>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</si>
  <si>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</si>
  <si>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</si>
  <si>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</si>
  <si>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</si>
  <si>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</si>
  <si>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</si>
  <si>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</si>
  <si>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</si>
  <si>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</si>
  <si>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</si>
  <si>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</si>
  <si>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</si>
  <si>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</si>
  <si>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</si>
  <si>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</si>
  <si>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</si>
  <si>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</si>
  <si>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</si>
  <si>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</si>
  <si>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</si>
  <si>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</si>
  <si>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</si>
  <si>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</si>
  <si>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</si>
  <si>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</si>
  <si>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</si>
  <si>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</si>
  <si>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</si>
  <si>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</si>
  <si>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</si>
  <si>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</si>
  <si>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</si>
  <si>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</si>
  <si>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</si>
  <si>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</si>
  <si>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</si>
  <si>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</si>
  <si>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</si>
  <si>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</si>
  <si>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</si>
  <si>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</si>
  <si>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</si>
  <si>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</si>
  <si>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</si>
  <si>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</si>
  <si>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</si>
  <si>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</si>
  <si>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</si>
  <si>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</si>
  <si>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</si>
  <si>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</si>
  <si>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</si>
  <si>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</si>
  <si>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</si>
  <si>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</si>
  <si>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</si>
  <si>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</si>
  <si>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</si>
  <si>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</si>
  <si>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</si>
  <si>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</si>
  <si>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</si>
  <si>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</si>
  <si>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</si>
  <si>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</si>
  <si>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</si>
  <si>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</si>
  <si>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</si>
  <si>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</si>
  <si>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</si>
  <si>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</si>
  <si>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</si>
  <si>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</si>
  <si>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</si>
  <si>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</si>
  <si>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</si>
  <si>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</si>
  <si>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</si>
  <si>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</si>
  <si>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</si>
  <si>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</si>
  <si>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</si>
  <si>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</si>
  <si>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</si>
  <si>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</si>
  <si>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</si>
  <si>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</si>
  <si>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</si>
  <si>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</si>
  <si>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</si>
  <si>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</si>
  <si>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</si>
  <si>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</si>
  <si>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</si>
  <si>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</si>
  <si>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</si>
  <si>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</si>
  <si>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</si>
  <si>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</si>
  <si>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</si>
  <si>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</si>
  <si>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</si>
  <si>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</si>
  <si>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</si>
  <si>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</si>
  <si>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</si>
  <si>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</si>
  <si>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</si>
  <si>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</si>
  <si>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</si>
  <si>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</si>
  <si>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</si>
  <si>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</si>
  <si>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</si>
  <si>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</si>
  <si>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</si>
  <si>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</si>
  <si>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</si>
  <si>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</si>
  <si>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</si>
  <si>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</si>
  <si>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</si>
  <si>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</si>
  <si>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</si>
  <si>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</si>
  <si>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</si>
  <si>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</si>
  <si>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</si>
  <si>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</si>
  <si>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</si>
  <si>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</si>
  <si>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</si>
  <si>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</si>
  <si>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</si>
  <si>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</si>
  <si>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</si>
  <si>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</si>
  <si>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</si>
  <si>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</si>
  <si>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</si>
  <si>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</si>
  <si>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</si>
  <si>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</si>
  <si>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</si>
  <si>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</si>
  <si>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</si>
  <si>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</si>
  <si>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</si>
  <si>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</si>
  <si>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</si>
  <si>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</si>
  <si>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</si>
  <si>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</si>
  <si>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</si>
  <si>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</si>
  <si>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</si>
  <si>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</si>
  <si>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</si>
  <si>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</si>
  <si>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</si>
  <si>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</si>
  <si>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</si>
  <si>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</si>
  <si>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</si>
  <si>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</si>
  <si>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</si>
  <si>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</si>
  <si>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</si>
  <si>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</si>
  <si>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</si>
  <si>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</si>
  <si>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</si>
  <si>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</si>
  <si>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</si>
  <si>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</si>
  <si>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</si>
  <si>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</si>
  <si>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</si>
  <si>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</si>
  <si>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</si>
  <si>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</si>
  <si>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</si>
  <si>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</si>
  <si>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</si>
  <si>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</si>
  <si>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</si>
  <si>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</si>
  <si>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</si>
  <si>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</si>
  <si>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</si>
  <si>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</si>
  <si>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</si>
  <si>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</si>
  <si>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</si>
  <si>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</si>
  <si>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</si>
  <si>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</si>
  <si>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</si>
  <si>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</si>
  <si>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</si>
  <si>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</si>
  <si>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</si>
  <si>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</si>
  <si>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</si>
  <si>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</si>
  <si>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</si>
  <si>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</si>
  <si>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</si>
  <si>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</si>
  <si>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</si>
  <si>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</si>
  <si>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</si>
  <si>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</si>
  <si>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</si>
  <si>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</si>
  <si>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</si>
  <si>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</si>
  <si>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</si>
  <si>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</si>
  <si>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</si>
  <si>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</si>
  <si>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</si>
  <si>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</si>
  <si>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</si>
  <si>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</si>
  <si>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</si>
  <si>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</si>
  <si>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</si>
  <si>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</si>
  <si>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</si>
  <si>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</si>
  <si>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</si>
  <si>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</si>
  <si>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</si>
  <si>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</si>
  <si>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</si>
  <si>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</si>
  <si>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</si>
  <si>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</si>
  <si>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</si>
  <si>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</si>
  <si>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</si>
  <si>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</si>
  <si>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</si>
  <si>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</si>
  <si>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</si>
  <si>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</si>
  <si>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</si>
  <si>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</si>
  <si>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</si>
  <si>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</si>
  <si>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</si>
  <si>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</si>
  <si>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</si>
  <si>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</si>
  <si>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</si>
  <si>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</si>
  <si>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</si>
  <si>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</si>
  <si>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</si>
  <si>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</si>
  <si>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</si>
  <si>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</si>
  <si>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</si>
  <si>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</si>
  <si>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</si>
  <si>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</si>
  <si>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</si>
  <si>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</si>
  <si>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</si>
  <si>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</si>
  <si>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</si>
  <si>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</si>
  <si>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</si>
  <si>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</si>
  <si>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</si>
  <si>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</si>
  <si>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</si>
  <si>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</si>
  <si>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</si>
  <si>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</si>
  <si>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</si>
  <si>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</si>
  <si>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</si>
  <si>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</si>
  <si>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</si>
  <si>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</si>
  <si>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</si>
  <si>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</si>
  <si>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</si>
  <si>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</si>
  <si>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</si>
  <si>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</si>
  <si>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</si>
  <si>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</si>
  <si>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</si>
  <si>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</si>
  <si>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</si>
  <si>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</si>
  <si>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</si>
  <si>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</si>
  <si>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</si>
  <si>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</si>
  <si>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</si>
  <si>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</si>
  <si>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</si>
  <si>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</si>
  <si>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</si>
  <si>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</si>
  <si>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</si>
  <si>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</si>
  <si>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</si>
  <si>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</si>
  <si>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</si>
  <si>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</si>
  <si>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</si>
  <si>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</si>
  <si>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</si>
  <si>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</si>
  <si>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</si>
  <si>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</si>
  <si>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</si>
  <si>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</si>
  <si>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</si>
  <si>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</si>
  <si>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</si>
  <si>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</si>
  <si>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</si>
  <si>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</si>
  <si>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</si>
  <si>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</si>
  <si>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</si>
  <si>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</si>
  <si>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</si>
  <si>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</si>
  <si>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</si>
  <si>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</si>
  <si>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</si>
  <si>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</si>
  <si>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</si>
  <si>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</si>
  <si>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</si>
  <si>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</si>
  <si>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</si>
  <si>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</si>
  <si>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</si>
  <si>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</si>
  <si>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</si>
  <si>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</si>
  <si>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</si>
  <si>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</si>
  <si>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</si>
  <si>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</si>
  <si>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</si>
  <si>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</si>
  <si>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</si>
  <si>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</si>
  <si>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</si>
  <si>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</si>
  <si>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</si>
  <si>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</si>
  <si>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</si>
  <si>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</si>
  <si>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</si>
  <si>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</si>
  <si>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</si>
  <si>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</si>
  <si>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</si>
  <si>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</si>
  <si>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</si>
  <si>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</si>
  <si>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</si>
  <si>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</si>
  <si>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</si>
  <si>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</si>
  <si>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</si>
  <si>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</si>
  <si>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</si>
  <si>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</si>
  <si>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</si>
  <si>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</si>
  <si>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</si>
  <si>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</si>
  <si>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</si>
  <si>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</si>
  <si>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</si>
  <si>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</si>
  <si>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</si>
  <si>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</si>
  <si>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</si>
  <si>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</si>
  <si>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</si>
  <si>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</si>
  <si>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</si>
  <si>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</si>
  <si>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</si>
  <si>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</si>
  <si>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</si>
  <si>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</si>
  <si>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</si>
  <si>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</si>
  <si>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</si>
  <si>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</si>
  <si>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</si>
  <si>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</si>
  <si>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</si>
  <si>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</si>
  <si>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</si>
  <si>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</si>
  <si>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</si>
  <si>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</si>
  <si>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</si>
  <si>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</si>
  <si>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</si>
  <si>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</si>
  <si>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</si>
  <si>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</si>
  <si>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</si>
  <si>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</si>
  <si>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</si>
  <si>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</si>
  <si>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</si>
  <si>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</si>
  <si>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</si>
  <si>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</si>
  <si>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</si>
  <si>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</si>
  <si>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</si>
  <si>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</si>
  <si>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</si>
  <si>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</si>
  <si>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</si>
  <si>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</si>
  <si>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</si>
  <si>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</si>
  <si>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</si>
  <si>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</si>
  <si>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</si>
  <si>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</si>
  <si>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</si>
  <si>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</si>
  <si>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</si>
  <si>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</si>
  <si>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</si>
  <si>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</si>
  <si>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</si>
  <si>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</si>
  <si>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</si>
  <si>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</si>
  <si>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</si>
  <si>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</si>
  <si>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</si>
  <si>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</si>
  <si>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</si>
  <si>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</si>
  <si>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</si>
  <si>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</si>
  <si>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</si>
  <si>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</si>
  <si>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</si>
  <si>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</si>
  <si>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</si>
  <si>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</si>
  <si>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</si>
  <si>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</si>
  <si>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</si>
  <si>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</si>
  <si>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</si>
  <si>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</si>
  <si>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</si>
  <si>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</si>
  <si>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</si>
  <si>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</si>
  <si>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</si>
  <si>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</si>
  <si>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</si>
  <si>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</si>
  <si>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</si>
  <si>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</si>
  <si>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</si>
  <si>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</si>
  <si>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</si>
  <si>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</si>
  <si>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</si>
  <si>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</si>
  <si>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</si>
  <si>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</si>
  <si>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</si>
  <si>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</si>
  <si>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</si>
  <si>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</si>
  <si>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</si>
  <si>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</si>
  <si>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</si>
  <si>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</si>
  <si>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</si>
  <si>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</si>
  <si>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</si>
  <si>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</si>
  <si>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</si>
  <si>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</si>
  <si>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</si>
  <si>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</si>
  <si>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</si>
  <si>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</si>
  <si>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</si>
  <si>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</si>
  <si>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</si>
  <si>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</si>
  <si>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</si>
  <si>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</si>
  <si>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</si>
  <si>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</si>
  <si>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</si>
  <si>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</si>
  <si>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</si>
  <si>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</si>
  <si>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</si>
  <si>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</si>
  <si>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</si>
  <si>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</si>
  <si>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</si>
  <si>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</si>
  <si>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</si>
  <si>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</si>
  <si>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</si>
  <si>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</si>
  <si>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</si>
  <si>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</si>
  <si>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</si>
  <si>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</si>
  <si>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</si>
  <si>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</si>
  <si>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</si>
  <si>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</si>
  <si>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</si>
  <si>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</si>
  <si>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</si>
  <si>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</si>
  <si>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</si>
  <si>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</si>
  <si>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</si>
  <si>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</si>
  <si>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</si>
  <si>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</si>
  <si>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</si>
  <si>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</si>
  <si>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</si>
  <si>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</si>
  <si>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</si>
  <si>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</si>
  <si>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</si>
  <si>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</si>
  <si>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</si>
  <si>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</si>
  <si>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</si>
  <si>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</si>
  <si>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</si>
  <si>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</si>
  <si>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</si>
  <si>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</si>
  <si>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</si>
  <si>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</si>
  <si>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</si>
  <si>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</si>
  <si>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</si>
  <si>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</si>
  <si>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</si>
  <si>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</si>
  <si>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</si>
  <si>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</si>
  <si>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</si>
  <si>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</si>
  <si>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</si>
  <si>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</si>
  <si>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</si>
  <si>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</si>
  <si>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</si>
  <si>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</si>
  <si>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</si>
  <si>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</si>
  <si>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</si>
  <si>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</si>
  <si>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</si>
  <si>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</si>
  <si>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</si>
  <si>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</si>
  <si>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</si>
  <si>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</si>
  <si>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</si>
  <si>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</si>
  <si>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</si>
  <si>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</si>
  <si>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</si>
  <si>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</si>
  <si>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</si>
  <si>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</si>
  <si>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</si>
  <si>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</si>
  <si>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</si>
  <si>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</si>
  <si>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</si>
  <si>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</si>
  <si>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</si>
  <si>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</si>
  <si>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</si>
  <si>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</si>
  <si>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</si>
  <si>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</si>
  <si>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</si>
  <si>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</si>
  <si>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</si>
  <si>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</si>
  <si>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</si>
  <si>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</si>
  <si>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</si>
  <si>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</si>
  <si>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</si>
  <si>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</si>
  <si>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</si>
  <si>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</si>
  <si>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</si>
  <si>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</si>
  <si>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</si>
  <si>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</si>
  <si>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</si>
  <si>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</si>
  <si>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</si>
  <si>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</si>
  <si>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</si>
  <si>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</si>
  <si>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</si>
  <si>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</si>
  <si>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</si>
  <si>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</si>
  <si>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</si>
  <si>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</si>
  <si>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</si>
  <si>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</si>
  <si>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</si>
  <si>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</si>
  <si>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</si>
  <si>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</si>
  <si>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</si>
  <si>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</si>
  <si>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</si>
  <si>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</si>
  <si>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</si>
  <si>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</si>
  <si>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</si>
  <si>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</si>
  <si>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</si>
  <si>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</si>
  <si>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</si>
  <si>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</si>
  <si>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</si>
  <si>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</si>
  <si>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</si>
  <si>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</si>
  <si>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</si>
  <si>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</si>
  <si>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</si>
  <si>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</si>
  <si>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</si>
  <si>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</si>
  <si>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</si>
  <si>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</si>
  <si>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</si>
  <si>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</si>
  <si>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</si>
  <si>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</si>
  <si>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</si>
  <si>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</si>
  <si>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</si>
  <si>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</si>
  <si>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</si>
  <si>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</si>
  <si>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</si>
  <si>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</si>
  <si>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</si>
  <si>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</si>
  <si>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</si>
  <si>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</si>
  <si>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</si>
  <si>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</si>
  <si>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</si>
  <si>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</si>
  <si>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</si>
  <si>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</si>
  <si>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</si>
  <si>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</si>
  <si>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</si>
  <si>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</si>
  <si>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</si>
  <si>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</si>
  <si>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</si>
  <si>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</si>
  <si>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</si>
  <si>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</si>
  <si>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</si>
  <si>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</si>
  <si>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</si>
  <si>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</si>
  <si>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</si>
  <si>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</si>
  <si>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</si>
  <si>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</si>
  <si>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</si>
  <si>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</si>
  <si>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</si>
  <si>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</si>
  <si>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</si>
  <si>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</si>
  <si>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</si>
  <si>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</si>
  <si>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</si>
  <si>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</si>
  <si>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</si>
  <si>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</si>
  <si>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</si>
  <si>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</si>
  <si>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</si>
  <si>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</si>
  <si>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</si>
  <si>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</si>
  <si>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</si>
  <si>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</si>
  <si>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</si>
  <si>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</si>
  <si>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</si>
  <si>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</si>
  <si>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</si>
  <si>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</si>
  <si>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</si>
  <si>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</si>
  <si>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</si>
  <si>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</si>
  <si>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</si>
  <si>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</si>
  <si>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</si>
  <si>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</si>
  <si>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</si>
  <si>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</si>
  <si>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</si>
  <si>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</si>
  <si>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</si>
  <si>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</si>
  <si>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</si>
  <si>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</si>
  <si>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</si>
  <si>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</si>
  <si>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</si>
  <si>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</si>
  <si>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</si>
  <si>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</si>
  <si>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</si>
  <si>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</si>
  <si>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</si>
  <si>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</si>
  <si>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</si>
  <si>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</si>
  <si>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</si>
  <si>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</si>
  <si>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</si>
  <si>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</si>
  <si>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</si>
  <si>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</si>
  <si>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</si>
  <si>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</si>
  <si>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</si>
  <si>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</si>
  <si>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</si>
  <si>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</si>
  <si>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</si>
  <si>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</si>
  <si>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</si>
  <si>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</si>
  <si>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</si>
  <si>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</si>
  <si>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</si>
  <si>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</si>
  <si>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</si>
  <si>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</si>
  <si>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</si>
  <si>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</si>
  <si>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</si>
  <si>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</si>
  <si>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</si>
  <si>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</si>
  <si>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</si>
  <si>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</si>
  <si>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</si>
  <si>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</si>
  <si>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</si>
  <si>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</si>
  <si>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</si>
  <si>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</si>
  <si>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</si>
  <si>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</si>
  <si>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</si>
  <si>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</si>
  <si>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</si>
  <si>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</si>
  <si>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</si>
  <si>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</si>
  <si>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</si>
  <si>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</si>
  <si>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</si>
  <si>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</si>
  <si>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</si>
  <si>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</si>
  <si>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</si>
  <si>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</si>
  <si>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</si>
  <si>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</si>
  <si>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</si>
  <si>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</si>
  <si>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</si>
  <si>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</si>
  <si>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</si>
  <si>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</si>
  <si>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</si>
  <si>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</si>
  <si>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</si>
  <si>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</si>
  <si>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</si>
  <si>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</si>
  <si>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</si>
  <si>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</si>
  <si>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</si>
  <si>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</si>
  <si>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</si>
  <si>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</si>
  <si>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</si>
  <si>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</si>
  <si>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</si>
  <si>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</si>
  <si>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</si>
  <si>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</si>
  <si>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</si>
  <si>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</si>
  <si>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</si>
  <si>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</si>
  <si>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</si>
  <si>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</si>
  <si>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</si>
  <si>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</si>
  <si>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</si>
  <si>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</si>
  <si>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</si>
  <si>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</si>
  <si>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</si>
  <si>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</si>
  <si>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</si>
  <si>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</si>
  <si>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</si>
  <si>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</si>
  <si>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</si>
  <si>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</si>
  <si>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</si>
  <si>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</si>
  <si>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</si>
  <si>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</si>
  <si>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</si>
  <si>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</si>
  <si>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</si>
  <si>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</si>
  <si>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</si>
  <si>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</si>
  <si>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</si>
  <si>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</si>
  <si>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</si>
  <si>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</si>
  <si>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</si>
  <si>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</si>
  <si>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</si>
  <si>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</si>
  <si>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</si>
  <si>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</si>
  <si>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</si>
  <si>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</si>
  <si>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</si>
  <si>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</si>
  <si>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</si>
  <si>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</si>
  <si>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</si>
  <si>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</si>
  <si>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</si>
  <si>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</si>
  <si>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</si>
  <si>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</si>
  <si>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</si>
  <si>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</si>
  <si>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</si>
  <si>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</si>
  <si>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</si>
  <si>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</si>
  <si>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</si>
  <si>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</si>
  <si>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</si>
  <si>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</si>
  <si>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</si>
  <si>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</si>
  <si>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</si>
  <si>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</si>
  <si>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</si>
  <si>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</si>
  <si>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</si>
  <si>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</si>
  <si>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</si>
  <si>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</si>
  <si>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</si>
  <si>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</si>
  <si>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</si>
  <si>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</si>
  <si>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</si>
  <si>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</si>
  <si>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</si>
  <si>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</si>
  <si>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</si>
  <si>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</si>
  <si>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</si>
  <si>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</si>
  <si>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</si>
  <si>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</si>
  <si>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</si>
  <si>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</si>
  <si>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</si>
  <si>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</si>
  <si>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</si>
  <si>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</si>
  <si>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</si>
  <si>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</si>
  <si>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</si>
  <si>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</si>
  <si>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</si>
  <si>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</si>
  <si>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</si>
  <si>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</si>
  <si>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</si>
  <si>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</si>
  <si>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</si>
  <si>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</si>
  <si>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</si>
  <si>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</si>
  <si>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</si>
  <si>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</si>
  <si>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</si>
  <si>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</si>
  <si>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</si>
  <si>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</si>
  <si>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</si>
  <si>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</si>
  <si>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</si>
  <si>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</si>
  <si>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</si>
  <si>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</si>
  <si>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</si>
  <si>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</si>
  <si>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</si>
  <si>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</si>
  <si>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</si>
  <si>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</si>
  <si>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</si>
  <si>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</si>
  <si>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</si>
  <si>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</si>
  <si>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</si>
  <si>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</si>
  <si>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</si>
  <si>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</si>
  <si>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</si>
  <si>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</si>
  <si>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</si>
  <si>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</si>
  <si>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</si>
  <si>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</si>
  <si>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</si>
  <si>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</si>
  <si>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</si>
  <si>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</si>
  <si>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</si>
  <si>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</si>
  <si>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</si>
  <si>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</si>
  <si>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</si>
  <si>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</si>
  <si>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</si>
  <si>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</si>
  <si>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</si>
  <si>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</si>
  <si>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</si>
  <si>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</si>
  <si>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</si>
  <si>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</si>
  <si>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</si>
  <si>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</si>
  <si>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</si>
  <si>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</si>
  <si>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</si>
  <si>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</si>
  <si>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</si>
  <si>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</si>
  <si>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</si>
  <si>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</si>
  <si>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</si>
  <si>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</si>
  <si>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</si>
  <si>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</si>
  <si>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</si>
  <si>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</si>
  <si>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</si>
  <si>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</si>
  <si>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</si>
  <si>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</si>
  <si>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</si>
  <si>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</si>
  <si>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</si>
  <si>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</si>
  <si>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</si>
  <si>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</si>
  <si>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</si>
  <si>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</si>
  <si>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</si>
  <si>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</si>
  <si>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</si>
  <si>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</si>
  <si>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</si>
  <si>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</si>
  <si>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</si>
  <si>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</si>
  <si>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</si>
  <si>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</si>
  <si>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</si>
  <si>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</si>
  <si>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</si>
  <si>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</si>
  <si>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</si>
  <si>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</si>
  <si>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</si>
  <si>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</si>
  <si>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</si>
  <si>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</si>
  <si>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</si>
  <si>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</si>
  <si>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</si>
  <si>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</si>
  <si>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</si>
  <si>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</si>
  <si>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</si>
  <si>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</si>
  <si>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</si>
  <si>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</si>
  <si>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</si>
  <si>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</si>
  <si>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</si>
  <si>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</si>
  <si>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</si>
  <si>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</si>
  <si>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</si>
  <si>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</si>
  <si>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</si>
  <si>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</si>
  <si>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</si>
  <si>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</si>
  <si>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</si>
  <si>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</si>
  <si>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</si>
  <si>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</si>
  <si>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</si>
  <si>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</si>
  <si>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</si>
  <si>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</si>
  <si>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</si>
  <si>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</si>
  <si>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</si>
  <si>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</si>
  <si>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</si>
  <si>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</si>
  <si>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</si>
  <si>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</si>
  <si>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</si>
  <si>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</si>
  <si>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</si>
  <si>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</si>
  <si>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</si>
  <si>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</si>
  <si>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</si>
  <si>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</si>
  <si>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</si>
  <si>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</si>
  <si>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</si>
  <si>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</si>
  <si>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</si>
  <si>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</si>
  <si>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</si>
  <si>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</si>
  <si>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</si>
  <si>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</si>
  <si>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</si>
  <si>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</si>
  <si>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</si>
  <si>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</si>
  <si>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</si>
  <si>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</si>
  <si>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</si>
  <si>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</si>
  <si>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</si>
  <si>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</si>
  <si>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</si>
  <si>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</si>
  <si>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</si>
  <si>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</si>
  <si>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</si>
  <si>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</si>
  <si>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</si>
  <si>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</si>
  <si>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</si>
  <si>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</si>
  <si>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</si>
  <si>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</si>
  <si>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</si>
  <si>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</si>
  <si>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</si>
  <si>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</si>
  <si>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</si>
  <si>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</si>
  <si>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</si>
  <si>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</si>
  <si>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</si>
  <si>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</si>
  <si>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</si>
  <si>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</si>
  <si>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</si>
  <si>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</si>
  <si>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</si>
  <si>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</si>
  <si>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</si>
  <si>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</si>
  <si>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</si>
  <si>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</si>
  <si>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</si>
  <si>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</si>
  <si>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</si>
  <si>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</si>
  <si>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</si>
  <si>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</si>
  <si>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</si>
  <si>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</si>
  <si>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</si>
  <si>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</si>
  <si>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</si>
  <si>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</si>
  <si>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</si>
  <si>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</si>
  <si>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</si>
  <si>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</si>
  <si>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</si>
  <si>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</si>
  <si>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</si>
  <si>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</si>
  <si>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</si>
  <si>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</si>
  <si>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</si>
  <si>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</si>
  <si>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</si>
  <si>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</si>
  <si>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</si>
  <si>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</si>
  <si>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</si>
  <si>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</si>
  <si>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</si>
  <si>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</si>
  <si>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</si>
  <si>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</si>
  <si>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</si>
  <si>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</si>
  <si>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</si>
  <si>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</si>
  <si>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</si>
  <si>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</si>
  <si>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</si>
  <si>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</si>
  <si>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</si>
  <si>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</si>
  <si>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</si>
  <si>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</si>
  <si>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</si>
  <si>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</si>
  <si>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</si>
  <si>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</si>
  <si>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</si>
  <si>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</si>
  <si>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</si>
  <si>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</si>
  <si>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</si>
  <si>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</si>
  <si>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</si>
  <si>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</si>
  <si>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</si>
  <si>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</si>
  <si>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</si>
  <si>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</si>
  <si>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</si>
  <si>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</si>
  <si>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</si>
  <si>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</si>
  <si>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</si>
  <si>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</si>
  <si>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</si>
  <si>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</si>
  <si>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</si>
  <si>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</si>
  <si>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</si>
  <si>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</si>
  <si>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</si>
  <si>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</si>
  <si>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</si>
  <si>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</si>
  <si>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</si>
  <si>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</si>
  <si>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</si>
  <si>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</si>
  <si>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</si>
  <si>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</si>
  <si>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</si>
  <si>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</si>
  <si>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</si>
  <si>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</si>
  <si>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</si>
  <si>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</si>
  <si>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</si>
  <si>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</si>
  <si>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</si>
  <si>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</si>
  <si>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</si>
  <si>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</si>
  <si>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</si>
  <si>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</si>
  <si>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</si>
  <si>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</si>
  <si>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</si>
  <si>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</si>
  <si>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</si>
  <si>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</si>
  <si>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</si>
  <si>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</si>
  <si>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</si>
  <si>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</si>
  <si>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</si>
  <si>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</si>
  <si>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</si>
  <si>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</si>
  <si>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</si>
  <si>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</si>
  <si>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</si>
  <si>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</si>
  <si>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</si>
  <si>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</si>
  <si>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</si>
  <si>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</si>
  <si>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</si>
  <si>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</si>
  <si>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</si>
  <si>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</si>
  <si>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</si>
  <si>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</si>
  <si>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</si>
  <si>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</si>
  <si>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</si>
  <si>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</si>
  <si>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</si>
  <si>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</si>
  <si>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</si>
  <si>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</si>
  <si>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</si>
  <si>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</si>
  <si>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</si>
  <si>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</si>
  <si>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</si>
  <si>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</si>
  <si>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</si>
  <si>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</si>
  <si>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</si>
  <si>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</si>
  <si>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</si>
  <si>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</si>
  <si>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</si>
  <si>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</si>
  <si>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</si>
  <si>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</si>
  <si>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</si>
  <si>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</si>
  <si>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</si>
  <si>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</si>
  <si>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</si>
  <si>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</si>
  <si>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</si>
  <si>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</si>
  <si>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</si>
  <si>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</si>
  <si>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</si>
  <si>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</si>
  <si>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</si>
  <si>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</si>
  <si>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</si>
  <si>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</si>
  <si>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</si>
  <si>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</si>
  <si>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</si>
  <si>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</si>
  <si>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</si>
  <si>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</si>
  <si>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</si>
  <si>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</si>
  <si>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</si>
  <si>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</si>
  <si>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</si>
  <si>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</si>
  <si>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</si>
  <si>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</si>
  <si>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</si>
  <si>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</si>
  <si>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</si>
  <si>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</si>
  <si>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</si>
  <si>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</si>
  <si>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</si>
  <si>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</si>
  <si>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</si>
  <si>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</si>
  <si>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</si>
  <si>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</si>
  <si>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</si>
  <si>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</si>
  <si>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</si>
  <si>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</si>
  <si>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</si>
  <si>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</si>
  <si>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</si>
  <si>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</si>
  <si>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</si>
  <si>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</si>
  <si>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</si>
  <si>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</si>
  <si>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</si>
  <si>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</si>
  <si>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</si>
  <si>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</si>
  <si>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</si>
  <si>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</si>
  <si>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</si>
  <si>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</si>
  <si>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</si>
  <si>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</si>
  <si>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</si>
  <si>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</si>
  <si>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</si>
  <si>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</si>
  <si>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</si>
  <si>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</si>
  <si>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</si>
  <si>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</si>
  <si>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</si>
  <si>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</si>
  <si>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</si>
  <si>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</si>
  <si>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</si>
  <si>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</si>
  <si>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</si>
  <si>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</si>
  <si>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</si>
  <si>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</si>
  <si>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</si>
  <si>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</si>
  <si>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</si>
  <si>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</si>
  <si>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</si>
  <si>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</si>
  <si>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</si>
  <si>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</si>
  <si>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</si>
  <si>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</si>
  <si>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</si>
  <si>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</si>
  <si>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</si>
  <si>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</si>
  <si>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</si>
  <si>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</si>
  <si>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</si>
  <si>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</si>
  <si>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</si>
  <si>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</si>
  <si>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</si>
  <si>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</si>
  <si>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</si>
  <si>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</si>
  <si>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</si>
  <si>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</si>
  <si>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</si>
  <si>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</si>
  <si>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</si>
  <si>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</si>
  <si>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</si>
  <si>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</si>
  <si>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</si>
  <si>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</si>
  <si>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</si>
  <si>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</si>
  <si>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</si>
  <si>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</si>
  <si>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</si>
  <si>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</si>
  <si>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</si>
  <si>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</si>
  <si>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</si>
  <si>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</si>
  <si>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</si>
  <si>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</si>
  <si>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</si>
  <si>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</si>
  <si>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</si>
  <si>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</si>
  <si>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</si>
  <si>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</si>
  <si>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</si>
  <si>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</si>
  <si>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</si>
  <si>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</si>
  <si>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</si>
  <si>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</si>
  <si>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</si>
  <si>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</si>
  <si>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</si>
  <si>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</si>
  <si>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</si>
  <si>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</si>
  <si>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</si>
  <si>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</si>
  <si>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</si>
  <si>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</si>
  <si>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</si>
  <si>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</si>
  <si>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</si>
  <si>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</si>
  <si>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</si>
  <si>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</si>
  <si>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</si>
  <si>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</si>
  <si>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</si>
  <si>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</si>
  <si>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</si>
  <si>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</si>
  <si>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</si>
  <si>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</si>
  <si>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</si>
  <si>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</si>
  <si>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</si>
  <si>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</si>
  <si>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</si>
  <si>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</si>
  <si>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</si>
  <si>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</si>
  <si>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</si>
  <si>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</si>
  <si>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</si>
  <si>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</si>
  <si>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</si>
  <si>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</si>
  <si>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</si>
  <si>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</si>
  <si>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</si>
  <si>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</si>
  <si>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</si>
  <si>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</si>
  <si>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</si>
  <si>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</si>
  <si>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</si>
  <si>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</si>
  <si>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</si>
  <si>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</si>
  <si>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</si>
  <si>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</si>
  <si>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</si>
  <si>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</si>
  <si>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</si>
  <si>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</si>
  <si>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</si>
  <si>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</si>
  <si>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</si>
  <si>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</si>
  <si>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</si>
  <si>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</si>
  <si>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</si>
  <si>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</si>
  <si>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</si>
  <si>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</si>
  <si>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</si>
  <si>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</si>
  <si>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</si>
  <si>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</si>
  <si>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</si>
  <si>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</si>
  <si>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</si>
  <si>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</si>
  <si>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</si>
  <si>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</si>
  <si>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</si>
  <si>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</si>
  <si>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</si>
  <si>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</si>
  <si>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</si>
  <si>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</si>
  <si>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</si>
  <si>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</si>
  <si>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</si>
  <si>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</si>
  <si>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</si>
  <si>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</si>
  <si>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</si>
  <si>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</si>
  <si>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</si>
  <si>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</si>
  <si>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</si>
  <si>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</si>
  <si>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</si>
  <si>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</si>
  <si>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</si>
  <si>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</si>
  <si>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</si>
  <si>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</si>
  <si>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</si>
  <si>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</si>
  <si>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</si>
  <si>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</si>
  <si>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</si>
  <si>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</si>
  <si>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</si>
  <si>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</si>
  <si>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</si>
  <si>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</si>
  <si>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</si>
  <si>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</si>
  <si>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</si>
  <si>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</si>
  <si>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</si>
  <si>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</si>
  <si>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</si>
  <si>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</si>
  <si>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</si>
  <si>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</si>
  <si>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</si>
  <si>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</si>
  <si>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</si>
  <si>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</si>
  <si>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</si>
  <si>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</si>
  <si>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</si>
  <si>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</si>
  <si>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</si>
  <si>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</si>
  <si>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</si>
  <si>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</si>
  <si>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</si>
  <si>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</si>
  <si>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</si>
  <si>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</si>
  <si>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</si>
  <si>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</si>
  <si>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</si>
  <si>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</si>
  <si>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</si>
  <si>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</si>
  <si>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</si>
  <si>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</si>
  <si>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</si>
  <si>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</si>
  <si>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</si>
  <si>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</si>
  <si>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</si>
  <si>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</si>
  <si>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</si>
  <si>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</si>
  <si>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</si>
  <si>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</si>
  <si>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</si>
  <si>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</si>
  <si>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</si>
  <si>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</si>
  <si>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</si>
  <si>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</si>
  <si>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</si>
  <si>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</si>
  <si>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</si>
  <si>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</si>
  <si>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</si>
  <si>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</si>
  <si>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</si>
  <si>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</si>
  <si>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</si>
  <si>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</si>
  <si>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</si>
  <si>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</si>
  <si>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</si>
  <si>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</si>
  <si>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</si>
  <si>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</si>
  <si>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</si>
  <si>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</si>
  <si>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</si>
  <si>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</si>
  <si>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</si>
  <si>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</si>
  <si>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</si>
  <si>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</si>
  <si>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</si>
  <si>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</si>
  <si>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</si>
  <si>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</si>
  <si>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</si>
  <si>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</si>
  <si>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</si>
  <si>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</si>
  <si>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</si>
  <si>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</si>
  <si>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</si>
  <si>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</si>
  <si>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</si>
  <si>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</si>
  <si>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</si>
  <si>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</si>
  <si>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</si>
  <si>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</si>
  <si>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</si>
  <si>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</si>
  <si>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</si>
  <si>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</si>
  <si>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</si>
  <si>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</si>
  <si>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</si>
  <si>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</si>
  <si>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</si>
  <si>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</si>
  <si>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</si>
  <si>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</si>
  <si>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</si>
  <si>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</si>
  <si>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</si>
  <si>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</si>
  <si>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</si>
  <si>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</si>
  <si>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</si>
  <si>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</si>
  <si>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</si>
  <si>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</si>
  <si>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</si>
  <si>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</si>
  <si>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</si>
  <si>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</si>
  <si>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</si>
  <si>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</si>
  <si>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</si>
  <si>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</si>
  <si>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</si>
  <si>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</si>
  <si>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</si>
  <si>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</si>
  <si>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</si>
  <si>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</si>
  <si>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</si>
  <si>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</si>
  <si>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</si>
  <si>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</si>
  <si>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</si>
  <si>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</si>
  <si>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</si>
  <si>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</si>
  <si>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</si>
  <si>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</si>
  <si>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</si>
  <si>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</si>
  <si>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</si>
  <si>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</si>
  <si>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</si>
  <si>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</si>
  <si>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</si>
  <si>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</si>
  <si>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</si>
  <si>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</si>
  <si>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</si>
  <si>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</si>
  <si>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</si>
  <si>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</si>
  <si>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</si>
  <si>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</si>
  <si>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</si>
  <si>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</si>
  <si>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</si>
  <si>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</si>
  <si>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</si>
  <si>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</si>
  <si>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</si>
  <si>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</si>
  <si>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</si>
  <si>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</si>
  <si>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</si>
  <si>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</si>
  <si>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</si>
  <si>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</si>
  <si>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</si>
  <si>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</si>
  <si>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</si>
  <si>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</si>
  <si>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</si>
  <si>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</si>
  <si>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</si>
  <si>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</si>
  <si>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</si>
  <si>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</si>
  <si>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</si>
  <si>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</si>
  <si>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</si>
  <si>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</si>
  <si>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</si>
  <si>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</si>
  <si>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</si>
  <si>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</si>
  <si>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</si>
  <si>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</si>
  <si>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</si>
  <si>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</si>
  <si>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</si>
  <si>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</si>
  <si>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</si>
  <si>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</si>
  <si>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</si>
  <si>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</si>
  <si>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</si>
  <si>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</si>
  <si>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</si>
  <si>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</si>
  <si>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</si>
  <si>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</si>
  <si>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</si>
  <si>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</si>
  <si>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</si>
  <si>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</si>
  <si>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</si>
  <si>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</si>
  <si>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</si>
  <si>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</si>
  <si>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</si>
  <si>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</si>
  <si>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</si>
  <si>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</si>
  <si>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</si>
  <si>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</si>
  <si>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</si>
  <si>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</si>
  <si>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</si>
  <si>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</si>
  <si>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</si>
  <si>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</si>
  <si>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</si>
  <si>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</si>
  <si>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</si>
  <si>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</si>
  <si>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</si>
  <si>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</si>
  <si>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</si>
  <si>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</si>
  <si>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</si>
  <si>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</si>
  <si>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</si>
  <si>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</si>
  <si>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</si>
  <si>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</si>
  <si>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</si>
  <si>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</si>
  <si>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</si>
  <si>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</si>
  <si>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</si>
  <si>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</si>
  <si>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</si>
  <si>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</si>
  <si>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</si>
  <si>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</si>
  <si>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</si>
  <si>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</si>
  <si>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</si>
  <si>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</si>
  <si>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</si>
  <si>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</si>
  <si>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</si>
  <si>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</si>
  <si>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</si>
  <si>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</si>
  <si>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</si>
  <si>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</si>
  <si>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</si>
  <si>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</si>
  <si>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</si>
  <si>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</si>
  <si>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</si>
  <si>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</si>
  <si>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</si>
  <si>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</si>
  <si>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</si>
  <si>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</si>
  <si>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</si>
  <si>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</si>
  <si>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</si>
  <si>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</si>
  <si>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</si>
  <si>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</si>
  <si>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</si>
  <si>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</si>
  <si>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</si>
  <si>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</si>
  <si>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</si>
  <si>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</si>
  <si>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</si>
  <si>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</si>
  <si>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</si>
  <si>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</si>
  <si>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</si>
  <si>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</si>
  <si>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</si>
  <si>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</si>
  <si>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</si>
  <si>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</si>
  <si>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</si>
  <si>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</si>
  <si>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</si>
  <si>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</si>
  <si>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</si>
  <si>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</si>
  <si>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</si>
  <si>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</si>
  <si>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</si>
  <si>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</si>
  <si>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</si>
  <si>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</si>
  <si>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</si>
  <si>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</si>
  <si>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</si>
  <si>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</si>
  <si>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</si>
  <si>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</si>
  <si>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</si>
  <si>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</si>
  <si>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</si>
  <si>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</si>
  <si>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</si>
  <si>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</si>
  <si>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</si>
  <si>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</si>
  <si>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</si>
  <si>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</si>
  <si>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</si>
  <si>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</si>
  <si>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</si>
  <si>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</si>
  <si>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</si>
  <si>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</si>
  <si>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</si>
  <si>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</si>
  <si>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</si>
  <si>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</si>
  <si>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</si>
  <si>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</si>
  <si>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</si>
  <si>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</si>
  <si>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</si>
  <si>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</si>
  <si>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</si>
  <si>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</si>
  <si>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</si>
  <si>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</si>
  <si>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</si>
  <si>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</si>
  <si>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</si>
  <si>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</si>
  <si>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</si>
  <si>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</si>
  <si>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</si>
  <si>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</si>
  <si>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</si>
  <si>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</si>
  <si>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</si>
  <si>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</si>
  <si>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</si>
  <si>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</si>
  <si>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</si>
  <si>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</si>
  <si>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</si>
  <si>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</si>
  <si>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</si>
  <si>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</si>
  <si>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</si>
  <si>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</si>
  <si>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</si>
  <si>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</si>
  <si>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</si>
  <si>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</si>
  <si>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</si>
  <si>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</si>
  <si>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</si>
  <si>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</si>
  <si>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</si>
  <si>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</si>
  <si>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</si>
  <si>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</si>
  <si>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</si>
  <si>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</si>
  <si>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</si>
  <si>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</si>
  <si>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</si>
  <si>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</si>
  <si>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</si>
  <si>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</si>
  <si>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</si>
  <si>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</si>
  <si>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</si>
  <si>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</si>
  <si>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</si>
  <si>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</si>
  <si>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</si>
  <si>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</si>
  <si>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</si>
  <si>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</si>
  <si>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</si>
  <si>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</si>
  <si>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</si>
  <si>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</si>
  <si>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</si>
  <si>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</si>
  <si>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</si>
  <si>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</si>
  <si>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</si>
  <si>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</si>
  <si>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</si>
  <si>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</si>
  <si>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</si>
  <si>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</si>
  <si>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</si>
  <si>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</si>
  <si>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</si>
  <si>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</si>
  <si>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</si>
  <si>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</si>
  <si>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</si>
  <si>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</si>
  <si>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</si>
  <si>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</si>
  <si>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</si>
  <si>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</si>
  <si>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</si>
  <si>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</si>
  <si>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</si>
  <si>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</si>
  <si>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</si>
  <si>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</si>
  <si>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</si>
  <si>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</si>
  <si>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</si>
  <si>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</si>
  <si>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</si>
  <si>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</si>
  <si>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</si>
  <si>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</si>
  <si>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</si>
  <si>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</si>
  <si>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</si>
  <si>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</si>
  <si>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</si>
  <si>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</si>
  <si>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</si>
  <si>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</si>
  <si>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</si>
  <si>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</si>
  <si>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</si>
  <si>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</si>
  <si>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</si>
  <si>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</si>
  <si>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</si>
  <si>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</si>
  <si>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</si>
  <si>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</si>
  <si>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</si>
  <si>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</si>
  <si>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</si>
  <si>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</si>
  <si>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</si>
  <si>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</si>
  <si>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</si>
  <si>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</si>
  <si>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</si>
  <si>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</si>
  <si>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</si>
  <si>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</si>
  <si>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</si>
  <si>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</si>
  <si>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</si>
  <si>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</si>
  <si>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</si>
  <si>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</si>
  <si>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</si>
  <si>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</si>
  <si>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</si>
  <si>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</si>
  <si>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</si>
  <si>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</si>
  <si>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</si>
  <si>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</si>
  <si>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</si>
  <si>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</si>
  <si>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</si>
  <si>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</si>
  <si>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</si>
  <si>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</si>
  <si>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</si>
  <si>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</si>
  <si>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</si>
  <si>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</si>
  <si>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</si>
  <si>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</si>
  <si>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</si>
  <si>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</si>
  <si>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</si>
  <si>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</si>
  <si>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</si>
  <si>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</si>
  <si>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</si>
  <si>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</si>
  <si>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</si>
  <si>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</si>
  <si>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</si>
  <si>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</si>
  <si>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</si>
  <si>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</si>
  <si>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</si>
  <si>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</si>
  <si>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</si>
  <si>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</si>
  <si>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</si>
  <si>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</si>
  <si>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</si>
  <si>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</si>
  <si>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</si>
  <si>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</si>
  <si>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</si>
  <si>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</si>
  <si>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</si>
  <si>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</si>
  <si>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</si>
  <si>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</si>
  <si>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</si>
  <si>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</si>
  <si>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</si>
  <si>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</si>
  <si>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</si>
  <si>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</si>
  <si>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</si>
  <si>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</si>
  <si>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</si>
  <si>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</si>
  <si>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</si>
  <si>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</si>
  <si>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</si>
  <si>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</si>
  <si>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</si>
  <si>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</si>
  <si>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</si>
  <si>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</si>
  <si>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</si>
  <si>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</si>
  <si>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</si>
  <si>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</si>
  <si>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</si>
  <si>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</si>
  <si>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</si>
  <si>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</si>
  <si>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</si>
  <si>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</si>
  <si>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</si>
  <si>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</si>
  <si>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</si>
  <si>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</si>
  <si>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</si>
  <si>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</si>
  <si>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</si>
  <si>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</si>
  <si>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</si>
  <si>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</si>
  <si>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</si>
  <si>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</si>
  <si>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</si>
  <si>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</si>
  <si>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</si>
  <si>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</si>
  <si>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</si>
  <si>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</si>
  <si>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</si>
  <si>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</si>
  <si>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</si>
  <si>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</si>
  <si>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</si>
  <si>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</si>
  <si>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</si>
  <si>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</si>
  <si>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</si>
  <si>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</si>
  <si>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</si>
  <si>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</si>
  <si>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</si>
  <si>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</si>
  <si>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</si>
  <si>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</si>
  <si>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</si>
  <si>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</si>
  <si>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</si>
  <si>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</si>
  <si>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</si>
  <si>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</si>
  <si>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</si>
  <si>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</si>
  <si>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</si>
  <si>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</si>
  <si>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</si>
  <si>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</si>
  <si>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</si>
  <si>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</si>
  <si>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</si>
  <si>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</si>
  <si>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</si>
  <si>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</si>
  <si>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</si>
  <si>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</si>
  <si>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</si>
  <si>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</si>
  <si>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</si>
  <si>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</si>
  <si>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</si>
  <si>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</si>
  <si>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</si>
  <si>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</si>
  <si>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</si>
  <si>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</si>
  <si>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</si>
  <si>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</si>
  <si>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</si>
  <si>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</si>
  <si>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</si>
  <si>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</si>
  <si>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</si>
  <si>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</si>
  <si>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</si>
  <si>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</si>
  <si>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</si>
  <si>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</si>
  <si>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</si>
  <si>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</si>
  <si>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</si>
  <si>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</si>
  <si>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</si>
  <si>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</si>
  <si>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</si>
  <si>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</si>
  <si>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</si>
  <si>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</si>
  <si>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</si>
  <si>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</si>
  <si>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</si>
  <si>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</si>
  <si>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</si>
  <si>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</si>
  <si>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</si>
  <si>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</si>
  <si>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</si>
  <si>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</si>
  <si>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</si>
  <si>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</si>
  <si>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</si>
  <si>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</si>
  <si>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</si>
  <si>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</si>
  <si>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</si>
  <si>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</si>
  <si>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</si>
  <si>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</si>
  <si>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</si>
  <si>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</si>
  <si>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</si>
  <si>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</si>
  <si>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</si>
  <si>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</si>
  <si>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</si>
  <si>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</si>
  <si>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</si>
  <si>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</si>
  <si>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</si>
  <si>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</si>
  <si>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</si>
  <si>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</si>
  <si>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</si>
  <si>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</si>
  <si>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</si>
  <si>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</si>
  <si>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</si>
  <si>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</si>
  <si>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</si>
  <si>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</si>
  <si>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</si>
  <si>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</si>
  <si>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</si>
  <si>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</si>
  <si>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</si>
  <si>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</si>
  <si>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</si>
  <si>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</si>
  <si>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</si>
  <si>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</si>
  <si>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</si>
  <si>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</si>
  <si>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</si>
  <si>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</si>
  <si>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</si>
  <si>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</si>
  <si>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</si>
  <si>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</si>
  <si>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</si>
  <si>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</si>
  <si>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</si>
  <si>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</si>
  <si>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</si>
  <si>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</si>
  <si>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</si>
  <si>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</si>
  <si>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</si>
  <si>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</si>
  <si>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</si>
  <si>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</si>
  <si>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</si>
  <si>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</si>
  <si>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</si>
  <si>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</si>
  <si>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</si>
  <si>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</si>
  <si>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</si>
  <si>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</si>
  <si>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</si>
  <si>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</si>
  <si>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</si>
  <si>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</si>
  <si>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</si>
  <si>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</si>
  <si>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</si>
  <si>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</si>
  <si>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</si>
  <si>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</si>
  <si>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</si>
  <si>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</si>
  <si>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</si>
  <si>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</si>
  <si>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</si>
  <si>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</si>
  <si>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</si>
  <si>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</si>
  <si>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</si>
  <si>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</si>
  <si>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</si>
  <si>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</si>
  <si>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</si>
  <si>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</si>
  <si>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</si>
  <si>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</si>
  <si>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</si>
  <si>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</si>
  <si>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</si>
  <si>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</si>
  <si>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</si>
  <si>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</si>
  <si>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</si>
  <si>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</si>
  <si>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</si>
  <si>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</si>
  <si>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</si>
  <si>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</si>
  <si>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</si>
  <si>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</si>
  <si>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</si>
  <si>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</si>
  <si>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</si>
  <si>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</si>
  <si>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</si>
  <si>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</si>
  <si>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</si>
  <si>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</si>
  <si>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</si>
  <si>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</si>
  <si>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</si>
  <si>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</si>
  <si>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</si>
  <si>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</si>
  <si>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</si>
  <si>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</si>
  <si>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</si>
  <si>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</si>
  <si>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</si>
  <si>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</si>
  <si>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</si>
  <si>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</si>
  <si>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</si>
  <si>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</si>
  <si>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</si>
  <si>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</si>
  <si>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</si>
  <si>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</si>
  <si>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</si>
  <si>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</si>
  <si>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</si>
  <si>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</si>
  <si>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</si>
  <si>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</si>
  <si>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</si>
  <si>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</si>
  <si>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</si>
  <si>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</si>
  <si>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</si>
  <si>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</si>
  <si>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</si>
  <si>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</si>
  <si>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</si>
  <si>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</si>
  <si>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</si>
  <si>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</si>
  <si>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</si>
  <si>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</si>
  <si>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</si>
  <si>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</si>
  <si>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</si>
  <si>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</si>
  <si>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</si>
  <si>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</si>
  <si>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</si>
  <si>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</si>
  <si>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</si>
  <si>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</si>
  <si>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</si>
  <si>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</si>
  <si>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</si>
  <si>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</si>
  <si>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</si>
  <si>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</si>
  <si>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</si>
  <si>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</si>
  <si>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</si>
  <si>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</si>
  <si>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</si>
  <si>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</si>
  <si>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</si>
  <si>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</si>
  <si>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</si>
  <si>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</si>
  <si>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</si>
  <si>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</si>
  <si>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</si>
  <si>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</si>
  <si>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</si>
  <si>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</si>
  <si>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</si>
  <si>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</si>
  <si>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</si>
  <si>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</si>
  <si>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</si>
  <si>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</si>
  <si>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</si>
  <si>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</si>
  <si>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</si>
  <si>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</si>
  <si>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</si>
  <si>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</si>
  <si>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</si>
  <si>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</si>
  <si>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</si>
  <si>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</si>
  <si>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</si>
  <si>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</si>
  <si>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</si>
  <si>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</si>
  <si>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</si>
  <si>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</si>
  <si>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</si>
  <si>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</si>
  <si>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</si>
  <si>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</si>
  <si>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</si>
  <si>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</si>
  <si>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</si>
  <si>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</si>
  <si>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</si>
  <si>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</si>
  <si>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</si>
  <si>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</si>
  <si>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</si>
  <si>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</si>
  <si>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</si>
  <si>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</si>
  <si>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</si>
  <si>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</si>
  <si>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</si>
  <si>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</si>
  <si>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</si>
  <si>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</si>
  <si>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</si>
  <si>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</si>
  <si>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</si>
  <si>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</si>
  <si>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</si>
  <si>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</si>
  <si>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</si>
  <si>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</si>
  <si>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</si>
  <si>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</si>
  <si>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</si>
  <si>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</si>
  <si>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</si>
  <si>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</si>
  <si>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</si>
  <si>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</si>
  <si>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</si>
  <si>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</si>
  <si>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</si>
  <si>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</si>
  <si>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</si>
  <si>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</si>
  <si>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</si>
  <si>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</si>
  <si>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</si>
  <si>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</si>
  <si>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</si>
  <si>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</si>
  <si>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</si>
  <si>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</si>
  <si>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</si>
  <si>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</si>
  <si>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</si>
  <si>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</si>
  <si>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</si>
  <si>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</si>
  <si>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</si>
  <si>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</si>
  <si>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</si>
  <si>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</si>
  <si>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</si>
  <si>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</si>
  <si>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</si>
  <si>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</si>
  <si>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</si>
  <si>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</si>
  <si>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</si>
  <si>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</si>
  <si>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</si>
  <si>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</si>
  <si>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</si>
  <si>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</si>
  <si>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</si>
  <si>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</si>
  <si>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</si>
  <si>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</si>
  <si>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</si>
  <si>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</si>
  <si>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</si>
  <si>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</si>
  <si>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</si>
  <si>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</si>
  <si>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</si>
  <si>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</si>
  <si>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</si>
  <si>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</si>
  <si>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</si>
  <si>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</si>
  <si>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</si>
  <si>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</si>
  <si>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</si>
  <si>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</si>
  <si>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</si>
  <si>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</si>
  <si>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</si>
  <si>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</si>
  <si>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</si>
  <si>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</si>
  <si>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</si>
  <si>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</si>
  <si>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</si>
  <si>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</si>
  <si>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</si>
  <si>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</si>
  <si>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</si>
  <si>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</si>
  <si>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</si>
  <si>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</si>
  <si>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</si>
  <si>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</si>
  <si>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</si>
  <si>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</si>
  <si>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</si>
  <si>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</si>
  <si>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</si>
  <si>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</si>
  <si>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</si>
  <si>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</si>
  <si>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</si>
  <si>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</si>
  <si>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</si>
  <si>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</si>
  <si>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</si>
  <si>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</si>
  <si>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</si>
  <si>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</si>
  <si>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</si>
  <si>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</si>
  <si>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</si>
  <si>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</si>
  <si>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</si>
  <si>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</si>
  <si>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</si>
  <si>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</si>
  <si>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</si>
  <si>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</si>
  <si>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</si>
  <si>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</si>
  <si>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</si>
  <si>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</si>
  <si>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</si>
  <si>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</si>
  <si>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</si>
  <si>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</si>
  <si>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</si>
  <si>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</si>
  <si>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</si>
  <si>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</si>
  <si>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</si>
  <si>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</si>
  <si>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</si>
  <si>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</si>
  <si>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</si>
  <si>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</si>
  <si>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</si>
  <si>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</si>
  <si>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</si>
  <si>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</si>
  <si>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</si>
  <si>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</si>
  <si>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</si>
  <si>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</si>
  <si>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</si>
  <si>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</si>
  <si>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</si>
  <si>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</si>
  <si>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</si>
  <si>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</si>
  <si>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</si>
  <si>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</si>
  <si>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</si>
  <si>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</si>
  <si>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</si>
  <si>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</si>
  <si>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</si>
  <si>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</si>
  <si>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</si>
  <si>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</si>
  <si>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</si>
  <si>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</si>
  <si>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</si>
  <si>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</si>
  <si>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</si>
  <si>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</si>
  <si>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</si>
  <si>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</si>
  <si>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</si>
  <si>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</si>
  <si>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</si>
  <si>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</si>
  <si>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</si>
  <si>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</si>
  <si>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</si>
  <si>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</si>
  <si>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</si>
  <si>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</si>
  <si>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</si>
  <si>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</si>
  <si>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</si>
  <si>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</si>
  <si>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</si>
  <si>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</si>
  <si>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</si>
  <si>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</si>
  <si>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</si>
  <si>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</si>
  <si>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</si>
  <si>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</si>
  <si>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</si>
  <si>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</si>
  <si>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</si>
  <si>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</si>
  <si>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</si>
  <si>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</si>
  <si>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</si>
  <si>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</si>
  <si>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</si>
  <si>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</si>
  <si>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</si>
  <si>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</si>
  <si>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</si>
  <si>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</si>
  <si>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</si>
  <si>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</si>
  <si>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</si>
  <si>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</si>
  <si>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</si>
  <si>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</si>
  <si>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</si>
  <si>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</si>
  <si>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</si>
  <si>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</si>
  <si>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</si>
  <si>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</si>
  <si>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</si>
  <si>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</si>
  <si>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</si>
  <si>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</si>
  <si>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</si>
  <si>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</si>
  <si>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</si>
  <si>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</si>
  <si>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</si>
  <si>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</si>
  <si>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</si>
  <si>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</si>
  <si>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</si>
  <si>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</si>
  <si>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</si>
  <si>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</si>
  <si>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</si>
  <si>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</si>
  <si>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</si>
  <si>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</si>
  <si>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</si>
  <si>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</si>
  <si>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</si>
  <si>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</si>
  <si>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</si>
  <si>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</si>
  <si>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</si>
  <si>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</si>
  <si>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</si>
  <si>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</si>
  <si>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</si>
  <si>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</si>
  <si>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</si>
  <si>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</si>
  <si>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</si>
  <si>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</si>
  <si>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</si>
  <si>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</si>
  <si>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</si>
  <si>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</si>
  <si>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</si>
  <si>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</si>
  <si>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</si>
  <si>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</si>
  <si>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</si>
  <si>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</si>
  <si>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</si>
  <si>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</si>
  <si>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</si>
  <si>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</si>
  <si>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</si>
  <si>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</si>
  <si>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</si>
  <si>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</si>
  <si>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</si>
  <si>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</si>
  <si>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</si>
  <si>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</si>
  <si>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</si>
  <si>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</si>
  <si>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</si>
  <si>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</si>
  <si>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</si>
  <si>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</si>
  <si>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</si>
  <si>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</si>
  <si>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</si>
  <si>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</si>
  <si>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</si>
  <si>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</si>
  <si>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</si>
  <si>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</si>
  <si>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</si>
  <si>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</si>
  <si>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</si>
  <si>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</si>
  <si>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</si>
  <si>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</si>
  <si>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</si>
  <si>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</si>
  <si>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</si>
  <si>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</si>
  <si>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</si>
  <si>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</si>
  <si>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</si>
  <si>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</si>
  <si>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</si>
  <si>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</si>
  <si>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</si>
  <si>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</si>
  <si>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</si>
  <si>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</si>
  <si>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</si>
  <si>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</si>
  <si>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</si>
  <si>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</si>
  <si>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</si>
  <si>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</si>
  <si>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</si>
  <si>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</si>
  <si>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</si>
  <si>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</si>
  <si>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</si>
  <si>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</si>
  <si>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</si>
  <si>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</si>
  <si>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</si>
  <si>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</si>
  <si>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</si>
  <si>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</si>
  <si>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</si>
  <si>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</si>
  <si>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</si>
  <si>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</si>
  <si>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</si>
  <si>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</si>
  <si>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</si>
  <si>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</si>
  <si>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</si>
  <si>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</si>
  <si>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</si>
  <si>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</si>
  <si>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</si>
  <si>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</si>
  <si>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</si>
  <si>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</si>
  <si>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</si>
  <si>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</si>
  <si>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</si>
  <si>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</si>
  <si>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</si>
  <si>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</si>
  <si>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</si>
  <si>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</si>
  <si>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</si>
  <si>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</si>
  <si>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</si>
  <si>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</si>
  <si>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</si>
  <si>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</si>
  <si>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</si>
  <si>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</si>
  <si>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</si>
  <si>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</si>
  <si>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</si>
  <si>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</si>
  <si>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</si>
  <si>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</si>
  <si>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</si>
  <si>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</si>
  <si>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</si>
  <si>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</si>
  <si>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</si>
  <si>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</si>
  <si>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</si>
  <si>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</si>
  <si>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</si>
  <si>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</si>
  <si>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</si>
  <si>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</si>
  <si>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</si>
  <si>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</si>
  <si>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</si>
  <si>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</si>
  <si>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</si>
  <si>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</si>
  <si>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</si>
  <si>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</si>
  <si>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</si>
  <si>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</si>
  <si>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</si>
  <si>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</si>
  <si>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</si>
  <si>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</si>
  <si>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</si>
  <si>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</si>
  <si>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</si>
  <si>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</si>
  <si>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</si>
  <si>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</si>
  <si>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</si>
  <si>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</si>
  <si>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</si>
  <si>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</si>
  <si>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</si>
  <si>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</si>
  <si>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</si>
  <si>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</si>
  <si>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</si>
  <si>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</si>
  <si>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</si>
  <si>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</si>
  <si>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</si>
  <si>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</si>
  <si>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</si>
  <si>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</si>
  <si>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</si>
  <si>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</si>
  <si>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</si>
  <si>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</si>
  <si>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</si>
  <si>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</si>
  <si>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</si>
  <si>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</si>
  <si>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</si>
  <si>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</si>
  <si>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</si>
  <si>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</si>
  <si>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</si>
  <si>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</si>
  <si>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</si>
  <si>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</si>
  <si>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</si>
  <si>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</si>
  <si>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</si>
  <si>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</si>
  <si>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</si>
  <si>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</si>
  <si>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</si>
  <si>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</si>
  <si>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</si>
  <si>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</si>
  <si>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</si>
  <si>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</si>
  <si>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</si>
  <si>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</si>
  <si>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</si>
  <si>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</si>
  <si>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</si>
  <si>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</si>
  <si>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</si>
  <si>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</si>
  <si>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</si>
  <si>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</si>
  <si>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</si>
  <si>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</si>
  <si>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</si>
  <si>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</si>
  <si>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</si>
  <si>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</si>
  <si>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</si>
  <si>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</si>
  <si>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</si>
  <si>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</si>
  <si>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</si>
  <si>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</si>
  <si>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</si>
  <si>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</si>
  <si>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</si>
  <si>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</si>
  <si>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</si>
  <si>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</si>
  <si>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</si>
  <si>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</si>
  <si>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</si>
  <si>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</si>
  <si>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</si>
  <si>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</si>
  <si>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</si>
  <si>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</si>
  <si>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</si>
  <si>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</si>
  <si>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</si>
  <si>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</si>
  <si>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</si>
  <si>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</si>
  <si>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</si>
  <si>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</si>
  <si>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</si>
  <si>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</si>
  <si>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</si>
  <si>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</si>
  <si>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</si>
  <si>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</si>
  <si>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</si>
  <si>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</si>
  <si>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</si>
  <si>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</si>
  <si>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</si>
  <si>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</si>
  <si>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</si>
  <si>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</si>
  <si>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</si>
  <si>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</si>
  <si>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</si>
  <si>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</si>
  <si>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</si>
  <si>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</si>
  <si>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</si>
  <si>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</si>
  <si>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</si>
  <si>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</si>
  <si>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</si>
  <si>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</si>
  <si>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</si>
  <si>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</si>
  <si>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</si>
  <si>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</si>
  <si>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</si>
  <si>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</si>
  <si>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</si>
  <si>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</si>
  <si>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</si>
  <si>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</si>
  <si>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</si>
  <si>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</si>
  <si>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</si>
  <si>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</si>
  <si>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</si>
  <si>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</si>
  <si>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</si>
  <si>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</si>
  <si>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</si>
  <si>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</si>
  <si>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</si>
  <si>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</si>
  <si>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</si>
  <si>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</si>
  <si>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</si>
  <si>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</si>
  <si>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</si>
  <si>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</si>
  <si>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</si>
  <si>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</si>
  <si>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</si>
  <si>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</si>
  <si>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</si>
  <si>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</si>
  <si>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</si>
  <si>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</si>
  <si>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</si>
  <si>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</si>
  <si>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</si>
  <si>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</si>
  <si>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</si>
  <si>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</si>
  <si>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</si>
  <si>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</si>
  <si>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</si>
  <si>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</si>
  <si>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</si>
  <si>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</si>
  <si>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</si>
  <si>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</si>
  <si>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</si>
  <si>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</si>
  <si>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</si>
  <si>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</si>
  <si>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</si>
  <si>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</si>
  <si>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</si>
  <si>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</si>
  <si>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</si>
  <si>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</si>
  <si>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</si>
  <si>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</si>
  <si>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</si>
  <si>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</si>
  <si>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</si>
  <si>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</si>
  <si>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</si>
  <si>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</si>
  <si>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</si>
  <si>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</si>
  <si>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</si>
  <si>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</si>
  <si>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</si>
  <si>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</si>
  <si>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</si>
  <si>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</si>
  <si>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</si>
  <si>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</si>
  <si>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</si>
  <si>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</si>
  <si>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</si>
  <si>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</si>
  <si>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</si>
  <si>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</si>
  <si>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</si>
  <si>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</si>
  <si>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</si>
  <si>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</si>
  <si>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</si>
  <si>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</si>
  <si>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</si>
  <si>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</si>
  <si>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</si>
  <si>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</si>
  <si>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</si>
  <si>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</si>
  <si>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</si>
  <si>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</si>
  <si>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</si>
  <si>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</si>
  <si>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</si>
  <si>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</si>
  <si>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</si>
  <si>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</si>
  <si>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</si>
  <si>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</si>
  <si>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</si>
  <si>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</si>
  <si>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</si>
  <si>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</si>
  <si>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</si>
  <si>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</si>
  <si>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</si>
  <si>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</si>
  <si>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</si>
  <si>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</si>
  <si>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</si>
  <si>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</si>
  <si>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</si>
  <si>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</si>
  <si>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</si>
  <si>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</si>
  <si>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</si>
  <si>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</si>
  <si>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</si>
  <si>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</si>
  <si>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</si>
  <si>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</si>
  <si>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</si>
  <si>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</si>
  <si>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</si>
  <si>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</si>
  <si>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</si>
  <si>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</si>
  <si>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</si>
  <si>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</si>
  <si>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</si>
  <si>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</si>
  <si>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</si>
  <si>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</si>
  <si>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</si>
  <si>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</si>
  <si>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</si>
  <si>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</si>
  <si>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</si>
  <si>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</si>
  <si>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</si>
  <si>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</si>
  <si>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</si>
  <si>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</si>
  <si>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</si>
  <si>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</si>
  <si>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</si>
  <si>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</si>
  <si>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</si>
  <si>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</si>
  <si>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</si>
  <si>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</si>
  <si>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</si>
  <si>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</si>
  <si>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</si>
  <si>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</si>
  <si>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</si>
  <si>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</si>
  <si>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</si>
  <si>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</si>
  <si>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</si>
  <si>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</si>
  <si>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</si>
  <si>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</si>
  <si>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</si>
  <si>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</si>
  <si>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</si>
  <si>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</si>
  <si>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</si>
  <si>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</si>
  <si>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</si>
  <si>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</si>
  <si>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</si>
  <si>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</si>
  <si>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</si>
  <si>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</si>
  <si>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</si>
  <si>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</si>
  <si>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</si>
  <si>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</si>
  <si>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</si>
  <si>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</si>
  <si>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</si>
  <si>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</si>
  <si>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</si>
  <si>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</si>
  <si>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</si>
  <si>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</si>
  <si>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</si>
  <si>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</si>
  <si>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</si>
  <si>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</si>
  <si>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</si>
  <si>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</si>
  <si>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</si>
  <si>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</si>
  <si>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</si>
  <si>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</si>
  <si>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</si>
  <si>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</si>
  <si>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</si>
  <si>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</si>
  <si>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</si>
  <si>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</si>
  <si>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</si>
  <si>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</si>
  <si>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</si>
  <si>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</si>
  <si>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</si>
  <si>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</si>
  <si>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</si>
  <si>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</si>
  <si>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</si>
  <si>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</si>
  <si>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</si>
  <si>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</si>
  <si>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</si>
  <si>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</si>
  <si>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</si>
  <si>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</si>
  <si>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</si>
  <si>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</si>
  <si>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</si>
  <si>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</si>
  <si>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</si>
  <si>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</si>
  <si>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</si>
  <si>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</si>
  <si>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</si>
  <si>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</si>
  <si>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</si>
  <si>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</si>
  <si>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</si>
  <si>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</si>
  <si>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</si>
  <si>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</si>
  <si>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</si>
  <si>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</si>
  <si>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</si>
  <si>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</si>
  <si>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</si>
  <si>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</si>
  <si>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</si>
  <si>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</si>
  <si>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</si>
  <si>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</si>
  <si>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</si>
  <si>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</si>
  <si>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</si>
  <si>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</si>
  <si>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</si>
  <si>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</si>
  <si>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</si>
  <si>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</si>
  <si>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</si>
  <si>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</si>
  <si>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</si>
  <si>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</si>
  <si>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</si>
  <si>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</si>
  <si>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</si>
  <si>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</si>
  <si>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</si>
  <si>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</si>
  <si>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</si>
  <si>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</si>
  <si>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</si>
  <si>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</si>
  <si>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</si>
  <si>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</si>
  <si>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</si>
  <si>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</si>
  <si>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</si>
  <si>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</si>
  <si>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</si>
  <si>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</si>
  <si>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</si>
  <si>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</si>
  <si>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</si>
  <si>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</si>
  <si>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</si>
  <si>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</si>
  <si>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</si>
  <si>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</si>
  <si>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</si>
  <si>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</si>
  <si>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</si>
  <si>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</si>
  <si>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</si>
  <si>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</si>
  <si>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</si>
  <si>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</si>
  <si>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</si>
  <si>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</si>
  <si>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</si>
  <si>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</si>
  <si>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</si>
  <si>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</si>
  <si>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</si>
  <si>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</si>
  <si>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</si>
  <si>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</si>
  <si>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</si>
  <si>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</si>
  <si>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</si>
  <si>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</si>
  <si>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</si>
  <si>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</si>
  <si>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</si>
  <si>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</si>
  <si>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</si>
  <si>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</si>
  <si>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</si>
  <si>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</si>
  <si>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</si>
  <si>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</si>
  <si>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</si>
  <si>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</si>
  <si>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</si>
  <si>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</si>
  <si>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</si>
  <si>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</si>
  <si>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</si>
  <si>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</si>
  <si>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</si>
  <si>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</si>
  <si>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</si>
  <si>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</si>
  <si>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</si>
  <si>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</si>
  <si>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</si>
  <si>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</si>
  <si>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</si>
  <si>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</si>
  <si>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</si>
  <si>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</si>
  <si>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</si>
  <si>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</si>
  <si>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</si>
  <si>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</si>
  <si>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</si>
  <si>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</si>
  <si>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</si>
  <si>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</si>
  <si>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</si>
  <si>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</si>
  <si>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</si>
  <si>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</si>
  <si>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</si>
  <si>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</si>
  <si>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</si>
  <si>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</si>
  <si>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</si>
  <si>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</si>
  <si>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</si>
  <si>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</si>
  <si>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</si>
  <si>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</si>
  <si>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</si>
  <si>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</si>
  <si>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</si>
  <si>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</si>
  <si>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</si>
  <si>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</si>
  <si>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</si>
  <si>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</si>
  <si>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</si>
  <si>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</si>
  <si>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</si>
  <si>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</si>
  <si>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</si>
  <si>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</si>
  <si>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</si>
  <si>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</si>
  <si>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</si>
  <si>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</si>
  <si>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</si>
  <si>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</si>
  <si>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</si>
  <si>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</si>
  <si>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</si>
  <si>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</si>
  <si>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</si>
  <si>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</si>
  <si>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</si>
  <si>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</si>
  <si>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</si>
  <si>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</si>
  <si>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</si>
  <si>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</si>
  <si>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</si>
  <si>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</si>
  <si>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</si>
  <si>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</si>
  <si>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</si>
  <si>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</si>
  <si>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</si>
  <si>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</si>
  <si>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</si>
  <si>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</si>
  <si>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</si>
  <si>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</si>
  <si>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</si>
  <si>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</si>
  <si>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</si>
  <si>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</si>
  <si>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</si>
  <si>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</si>
  <si>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</si>
  <si>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</si>
  <si>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</si>
  <si>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</si>
  <si>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</si>
  <si>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</si>
  <si>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</si>
  <si>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</si>
  <si>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</si>
  <si>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</si>
  <si>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</si>
  <si>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</si>
  <si>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</si>
  <si>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</si>
  <si>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</si>
  <si>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</si>
  <si>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</si>
  <si>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</si>
  <si>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</si>
  <si>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</si>
  <si>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</si>
  <si>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</si>
  <si>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</si>
  <si>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</si>
  <si>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</si>
  <si>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</si>
  <si>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</si>
  <si>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</si>
  <si>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</si>
  <si>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</si>
  <si>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</si>
  <si>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</si>
  <si>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</si>
  <si>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</si>
  <si>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</si>
  <si>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</si>
  <si>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</si>
  <si>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</si>
  <si>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</si>
  <si>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</si>
  <si>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</si>
  <si>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</si>
  <si>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</si>
  <si>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</si>
  <si>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</si>
  <si>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</si>
  <si>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</si>
  <si>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</si>
  <si>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</si>
  <si>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</si>
  <si>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</si>
  <si>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</si>
  <si>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</si>
  <si>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</si>
  <si>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</si>
  <si>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</si>
  <si>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</si>
  <si>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</si>
  <si>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</si>
  <si>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</si>
  <si>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</si>
  <si>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</si>
  <si>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</si>
  <si>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</si>
  <si>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</si>
  <si>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</si>
  <si>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</si>
  <si>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</si>
  <si>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</si>
  <si>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</si>
  <si>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</si>
  <si>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</si>
  <si>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</si>
  <si>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</si>
  <si>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</si>
  <si>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</si>
  <si>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</si>
  <si>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</si>
  <si>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</si>
  <si>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</si>
  <si>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</si>
  <si>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</si>
  <si>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</si>
  <si>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</si>
  <si>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</si>
  <si>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</si>
  <si>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</si>
  <si>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</si>
  <si>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</si>
  <si>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</si>
  <si>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</si>
  <si>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</si>
  <si>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</si>
  <si>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</si>
  <si>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</si>
  <si>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</si>
  <si>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</si>
  <si>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</si>
  <si>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</si>
  <si>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</si>
  <si>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</si>
  <si>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</si>
  <si>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</si>
  <si>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</si>
  <si>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</si>
  <si>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</si>
  <si>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</si>
  <si>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</si>
  <si>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</si>
  <si>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</si>
  <si>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</si>
  <si>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</si>
  <si>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</si>
  <si>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</si>
  <si>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</si>
  <si>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</si>
  <si>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</si>
  <si>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</si>
  <si>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</si>
  <si>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</si>
  <si>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</si>
  <si>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</si>
  <si>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</si>
  <si>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</si>
  <si>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</si>
  <si>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</si>
  <si>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</si>
  <si>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</si>
  <si>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</si>
  <si>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</si>
  <si>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</si>
  <si>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</si>
  <si>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</si>
  <si>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</si>
  <si>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</si>
  <si>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</si>
  <si>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</si>
  <si>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</si>
  <si>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</si>
  <si>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</si>
  <si>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</si>
  <si>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</si>
  <si>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</si>
  <si>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</si>
  <si>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</si>
  <si>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</si>
  <si>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</si>
  <si>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</si>
  <si>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</si>
  <si>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</si>
  <si>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</si>
  <si>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</si>
  <si>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</si>
  <si>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</si>
  <si>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</si>
  <si>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</si>
  <si>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</si>
  <si>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</si>
  <si>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</si>
  <si>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</si>
  <si>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</si>
  <si>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</si>
  <si>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</si>
  <si>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</si>
  <si>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</si>
  <si>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</si>
  <si>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</si>
  <si>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</si>
  <si>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</si>
  <si>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</si>
  <si>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</si>
  <si>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</si>
  <si>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</si>
  <si>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</si>
  <si>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</si>
  <si>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</si>
  <si>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</si>
  <si>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</si>
  <si>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</si>
  <si>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</si>
  <si>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</si>
  <si>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</si>
  <si>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</si>
  <si>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</si>
  <si>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</si>
  <si>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</si>
  <si>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</si>
  <si>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</si>
  <si>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</si>
  <si>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</si>
  <si>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</si>
  <si>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</si>
  <si>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</si>
  <si>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</si>
  <si>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</si>
  <si>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</si>
  <si>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</si>
  <si>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</si>
  <si>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</si>
  <si>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</si>
  <si>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</si>
  <si>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</si>
  <si>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</si>
  <si>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</si>
  <si>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</si>
  <si>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</si>
  <si>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</si>
  <si>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</si>
  <si>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</si>
  <si>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</si>
  <si>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</si>
  <si>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</si>
  <si>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</si>
  <si>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</si>
  <si>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</si>
  <si>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</si>
  <si>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</si>
  <si>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</si>
  <si>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</si>
  <si>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</si>
  <si>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</si>
  <si>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</si>
  <si>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</si>
  <si>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</si>
  <si>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</si>
  <si>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</si>
  <si>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</si>
  <si>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</si>
  <si>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</si>
  <si>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</si>
  <si>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</si>
  <si>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</si>
  <si>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</si>
  <si>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</si>
  <si>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</si>
  <si>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</si>
  <si>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</si>
  <si>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</si>
  <si>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</si>
  <si>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</si>
  <si>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</si>
  <si>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</si>
  <si>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</si>
  <si>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</si>
  <si>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</si>
  <si>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</si>
  <si>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</si>
  <si>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</si>
  <si>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</si>
  <si>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</si>
  <si>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</si>
  <si>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</si>
  <si>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</si>
  <si>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</si>
  <si>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</si>
  <si>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</si>
  <si>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</si>
  <si>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</si>
  <si>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</si>
  <si>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</si>
  <si>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</si>
  <si>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</si>
  <si>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</si>
  <si>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</si>
  <si>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</si>
  <si>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</si>
  <si>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</si>
  <si>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</si>
  <si>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</si>
  <si>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</si>
  <si>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</si>
  <si>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</si>
  <si>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</si>
  <si>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</si>
  <si>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</si>
  <si>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</si>
  <si>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</si>
  <si>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</si>
  <si>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</si>
  <si>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</si>
  <si>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</si>
  <si>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</si>
  <si>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</si>
  <si>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</si>
  <si>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</si>
  <si>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</si>
  <si>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</si>
  <si>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</si>
  <si>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</si>
  <si>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</si>
  <si>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</si>
  <si>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</si>
  <si>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</si>
  <si>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</si>
  <si>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</si>
  <si>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</si>
  <si>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</si>
  <si>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</si>
  <si>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</si>
  <si>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</si>
  <si>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</si>
  <si>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</si>
  <si>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</si>
  <si>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</si>
  <si>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</si>
  <si>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</si>
  <si>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</si>
  <si>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</si>
  <si>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</si>
  <si>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</si>
  <si>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</si>
  <si>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</si>
  <si>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</si>
  <si>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</si>
  <si>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</si>
  <si>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</si>
  <si>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</si>
  <si>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</si>
  <si>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</si>
  <si>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</si>
  <si>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</si>
  <si>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</si>
  <si>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</si>
  <si>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</si>
  <si>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</si>
  <si>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</si>
  <si>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</si>
  <si>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</si>
  <si>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</si>
  <si>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</si>
  <si>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</si>
  <si>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</si>
  <si>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</si>
  <si>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</si>
  <si>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</si>
  <si>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</si>
  <si>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</si>
  <si>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</si>
  <si>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</si>
  <si>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</si>
  <si>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</si>
  <si>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</si>
  <si>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</si>
  <si>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</si>
  <si>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</si>
  <si>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</si>
  <si>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</si>
  <si>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</si>
  <si>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</si>
  <si>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</si>
  <si>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</si>
  <si>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</si>
  <si>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</si>
  <si>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</si>
  <si>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</si>
  <si>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</si>
  <si>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</si>
  <si>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</si>
  <si>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</si>
  <si>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</si>
  <si>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</si>
  <si>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</si>
  <si>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</si>
  <si>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</si>
  <si>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</si>
  <si>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</si>
  <si>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</si>
  <si>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</si>
  <si>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</si>
  <si>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</si>
  <si>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</si>
  <si>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</si>
  <si>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</si>
  <si>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</si>
  <si>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</si>
  <si>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</si>
  <si>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</si>
  <si>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</si>
  <si>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</si>
  <si>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</si>
  <si>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</si>
  <si>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</si>
  <si>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</si>
  <si>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</si>
  <si>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</si>
  <si>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</si>
  <si>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</si>
  <si>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</si>
  <si>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</si>
  <si>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</si>
  <si>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</si>
  <si>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</si>
  <si>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</si>
  <si>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</si>
  <si>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</si>
  <si>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</si>
  <si>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</si>
  <si>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</si>
  <si>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</si>
  <si>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</si>
  <si>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</si>
  <si>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</si>
  <si>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</si>
  <si>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</si>
  <si>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</si>
  <si>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</si>
  <si>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</si>
  <si>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</si>
  <si>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</si>
  <si>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</si>
  <si>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</si>
  <si>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</si>
  <si>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</si>
  <si>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</si>
  <si>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</si>
  <si>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</si>
  <si>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</si>
  <si>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</si>
  <si>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</si>
  <si>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</si>
  <si>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</si>
  <si>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</si>
  <si>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</si>
  <si>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</si>
  <si>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</si>
  <si>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</si>
  <si>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</si>
  <si>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</si>
  <si>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</si>
  <si>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</si>
  <si>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</si>
  <si>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</si>
  <si>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</si>
  <si>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</si>
  <si>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</si>
  <si>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</si>
  <si>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</si>
  <si>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</si>
  <si>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</si>
  <si>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</si>
  <si>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</si>
  <si>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</si>
  <si>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</si>
  <si>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</si>
  <si>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</si>
  <si>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</si>
  <si>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</si>
  <si>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</si>
  <si>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</si>
  <si>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</si>
  <si>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</si>
  <si>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</si>
  <si>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</si>
  <si>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</si>
  <si>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</si>
  <si>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</si>
  <si>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</si>
  <si>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</si>
  <si>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</si>
  <si>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</si>
  <si>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</si>
  <si>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</si>
  <si>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</si>
  <si>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</si>
  <si>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</si>
  <si>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</si>
  <si>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</si>
  <si>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</si>
  <si>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</si>
  <si>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</si>
  <si>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</si>
  <si>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</si>
  <si>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</si>
  <si>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</si>
  <si>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</si>
  <si>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</si>
  <si>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</si>
  <si>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</si>
  <si>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</si>
  <si>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</si>
  <si>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</si>
  <si>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</si>
  <si>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</si>
  <si>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</si>
  <si>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</si>
  <si>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</si>
  <si>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</si>
  <si>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</si>
  <si>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</si>
  <si>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</si>
  <si>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</si>
  <si>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</si>
  <si>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</si>
  <si>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</si>
  <si>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</si>
  <si>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</si>
  <si>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</si>
  <si>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</si>
  <si>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</si>
  <si>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</si>
  <si>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</si>
  <si>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</si>
  <si>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</si>
  <si>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</si>
  <si>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</si>
  <si>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</si>
  <si>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</si>
  <si>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</si>
  <si>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</si>
  <si>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</si>
  <si>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</si>
  <si>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</si>
  <si>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</si>
  <si>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</si>
  <si>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</si>
  <si>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</si>
  <si>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</si>
  <si>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</si>
  <si>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</si>
  <si>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</si>
  <si>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</si>
  <si>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</si>
  <si>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</si>
  <si>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</si>
  <si>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</si>
  <si>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</si>
  <si>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</si>
  <si>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</si>
  <si>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</si>
  <si>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</si>
  <si>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</si>
  <si>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</si>
  <si>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</si>
  <si>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</si>
  <si>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</si>
  <si>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</si>
  <si>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</si>
  <si>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</si>
  <si>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</si>
  <si>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</si>
  <si>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</si>
  <si>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</si>
  <si>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</si>
  <si>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</si>
  <si>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</si>
  <si>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</si>
  <si>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</si>
  <si>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</si>
  <si>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</si>
  <si>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</si>
  <si>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</si>
  <si>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</si>
  <si>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</si>
  <si>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</si>
  <si>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</si>
  <si>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</si>
  <si>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</si>
  <si>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</si>
  <si>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</si>
  <si>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</si>
  <si>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</si>
  <si>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</si>
  <si>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</si>
  <si>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</si>
  <si>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</si>
  <si>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</si>
  <si>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</si>
  <si>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</si>
  <si>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</si>
  <si>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</si>
  <si>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</si>
  <si>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</si>
  <si>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</si>
  <si>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</si>
  <si>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</si>
  <si>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</si>
  <si>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</si>
  <si>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</si>
  <si>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</si>
  <si>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</si>
  <si>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</si>
  <si>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</si>
  <si>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</si>
  <si>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</si>
  <si>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</si>
  <si>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</si>
  <si>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</si>
  <si>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</si>
  <si>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</si>
  <si>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</si>
  <si>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</si>
  <si>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</si>
  <si>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</si>
  <si>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</si>
  <si>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</si>
  <si>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</si>
  <si>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</si>
  <si>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</si>
  <si>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</si>
  <si>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</si>
  <si>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</si>
  <si>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</si>
  <si>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</si>
  <si>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</si>
  <si>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</si>
  <si>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</si>
  <si>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</si>
  <si>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</si>
  <si>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</si>
  <si>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</si>
  <si>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</si>
  <si>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</si>
  <si>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</si>
  <si>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</si>
  <si>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</si>
  <si>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</si>
  <si>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</si>
  <si>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</si>
  <si>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</si>
  <si>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</si>
  <si>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</si>
  <si>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</si>
  <si>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</si>
  <si>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</si>
  <si>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</si>
  <si>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</si>
  <si>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</si>
  <si>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</si>
  <si>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</si>
  <si>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</si>
  <si>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</si>
  <si>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</si>
  <si>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</si>
  <si>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</si>
  <si>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</si>
  <si>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</si>
  <si>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</si>
  <si>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</si>
  <si>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</si>
  <si>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</si>
  <si>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</si>
  <si>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</si>
  <si>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</si>
  <si>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</si>
  <si>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</si>
  <si>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</si>
  <si>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</si>
  <si>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</si>
  <si>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</si>
  <si>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</si>
  <si>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</si>
  <si>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</si>
  <si>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</si>
  <si>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</si>
  <si>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</si>
  <si>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</si>
  <si>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</si>
  <si>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</si>
  <si>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</si>
  <si>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</si>
  <si>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</si>
  <si>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</si>
  <si>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</si>
  <si>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</si>
  <si>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</si>
  <si>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</si>
  <si>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</si>
  <si>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</si>
  <si>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</si>
  <si>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</si>
  <si>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</si>
  <si>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</si>
  <si>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</si>
  <si>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</si>
  <si>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</si>
  <si>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</si>
  <si>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</si>
  <si>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</si>
  <si>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</si>
  <si>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</si>
  <si>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</si>
  <si>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</si>
  <si>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</si>
  <si>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</si>
  <si>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</si>
  <si>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</si>
  <si>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</si>
  <si>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</si>
  <si>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</si>
  <si>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</si>
  <si>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</si>
  <si>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</si>
  <si>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</si>
  <si>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</si>
  <si>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</si>
  <si>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</si>
  <si>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</si>
  <si>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</si>
  <si>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</si>
  <si>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</si>
  <si>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</si>
  <si>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</si>
  <si>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</si>
  <si>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</si>
  <si>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</si>
  <si>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</si>
  <si>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</si>
  <si>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</si>
  <si>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</si>
  <si>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</si>
  <si>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</si>
  <si>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</si>
  <si>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</si>
  <si>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</si>
  <si>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</si>
  <si>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</si>
  <si>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</si>
  <si>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</si>
  <si>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</si>
  <si>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</si>
  <si>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</si>
  <si>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</si>
  <si>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</si>
  <si>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</si>
  <si>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</si>
  <si>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</si>
  <si>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</si>
  <si>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</si>
  <si>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</si>
  <si>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</si>
  <si>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</si>
  <si>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</si>
  <si>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</si>
  <si>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</si>
  <si>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</si>
  <si>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</si>
  <si>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</si>
  <si>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</si>
  <si>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</si>
  <si>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</si>
  <si>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</si>
  <si>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</si>
  <si>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</si>
  <si>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</si>
  <si>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</si>
  <si>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</si>
  <si>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</si>
  <si>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</si>
  <si>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</si>
  <si>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</si>
  <si>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</si>
  <si>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</si>
  <si>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</si>
  <si>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</si>
  <si>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</si>
  <si>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</si>
  <si>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</si>
  <si>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</si>
  <si>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</si>
  <si>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</si>
  <si>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</si>
  <si>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</si>
  <si>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</si>
  <si>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</si>
  <si>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</si>
  <si>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</si>
  <si>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</si>
  <si>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</si>
  <si>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</si>
  <si>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</si>
  <si>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</si>
  <si>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</si>
  <si>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</si>
  <si>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</si>
  <si>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</si>
  <si>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</si>
  <si>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</si>
  <si>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</si>
  <si>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</si>
  <si>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</si>
  <si>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</si>
  <si>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</si>
  <si>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</si>
  <si>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</si>
  <si>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</si>
  <si>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</si>
  <si>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</si>
  <si>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</si>
  <si>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</si>
  <si>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</si>
  <si>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</si>
  <si>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</si>
  <si>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</si>
  <si>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</si>
  <si>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</si>
  <si>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</si>
  <si>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</si>
  <si>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</si>
  <si>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</si>
  <si>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</si>
  <si>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</si>
  <si>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</si>
  <si>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</si>
  <si>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</si>
  <si>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</si>
  <si>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</si>
  <si>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</si>
  <si>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</si>
  <si>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</si>
  <si>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</si>
  <si>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</si>
  <si>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</si>
  <si>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</si>
  <si>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</si>
  <si>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</si>
  <si>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</si>
  <si>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</si>
  <si>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</si>
  <si>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</si>
  <si>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</si>
  <si>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</si>
  <si>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</si>
  <si>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</si>
  <si>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</si>
  <si>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</si>
  <si>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</si>
  <si>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</si>
  <si>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</si>
  <si>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</si>
  <si>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</si>
  <si>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</si>
  <si>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</si>
  <si>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</si>
  <si>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</si>
  <si>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</si>
  <si>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</si>
  <si>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</si>
  <si>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</si>
  <si>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</si>
  <si>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</si>
  <si>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</si>
  <si>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</si>
  <si>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</si>
  <si>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</si>
  <si>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</si>
  <si>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</si>
  <si>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</si>
  <si>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</si>
  <si>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</si>
  <si>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</si>
  <si>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</si>
  <si>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</si>
  <si>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</si>
  <si>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</si>
  <si>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</si>
  <si>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</si>
  <si>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</si>
  <si>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</si>
  <si>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</si>
  <si>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</si>
  <si>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</si>
  <si>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</si>
  <si>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</si>
  <si>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</si>
  <si>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</si>
  <si>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</si>
  <si>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</si>
  <si>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</si>
  <si>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</si>
  <si>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</si>
  <si>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</si>
  <si>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</si>
  <si>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</si>
  <si>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</si>
  <si>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</si>
  <si>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</si>
  <si>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</si>
  <si>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</si>
  <si>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</si>
  <si>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</si>
  <si>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</si>
  <si>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</si>
  <si>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</si>
  <si>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</si>
  <si>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</si>
  <si>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</si>
  <si>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</si>
  <si>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</si>
  <si>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</si>
  <si>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</si>
  <si>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</si>
  <si>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</si>
  <si>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</si>
  <si>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</si>
  <si>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</si>
  <si>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</si>
  <si>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</si>
  <si>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</si>
  <si>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</si>
  <si>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</si>
  <si>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</si>
  <si>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</si>
  <si>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</si>
  <si>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</si>
  <si>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</si>
  <si>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</si>
  <si>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</si>
  <si>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</si>
  <si>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</si>
  <si>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</si>
  <si>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</si>
  <si>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</si>
  <si>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</si>
  <si>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</si>
  <si>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</si>
  <si>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</si>
  <si>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</si>
  <si>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</si>
  <si>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</si>
  <si>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</si>
  <si>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</si>
  <si>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</si>
  <si>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</si>
  <si>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</si>
  <si>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</si>
  <si>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</si>
  <si>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</si>
  <si>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</si>
  <si>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</si>
  <si>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</si>
  <si>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</si>
  <si>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</si>
  <si>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</si>
  <si>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</si>
  <si>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</si>
  <si>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</si>
  <si>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</si>
  <si>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</si>
  <si>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</si>
  <si>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</si>
  <si>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</si>
  <si>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</si>
  <si>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</si>
  <si>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</si>
  <si>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</si>
  <si>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</si>
  <si>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</si>
  <si>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</si>
  <si>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</si>
  <si>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</si>
  <si>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</si>
  <si>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</si>
  <si>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</si>
  <si>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</si>
  <si>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</si>
  <si>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</si>
  <si>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</si>
  <si>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</si>
  <si>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</si>
  <si>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</si>
  <si>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</si>
  <si>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</si>
  <si>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</si>
  <si>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</si>
  <si>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</si>
  <si>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</si>
  <si>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</si>
  <si>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</si>
  <si>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</si>
  <si>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</si>
  <si>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</si>
  <si>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</si>
  <si>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</si>
  <si>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</si>
  <si>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</si>
  <si>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</si>
  <si>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</si>
  <si>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</si>
  <si>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</si>
  <si>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</si>
  <si>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</si>
  <si>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</si>
  <si>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</si>
  <si>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</si>
  <si>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</si>
  <si>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</si>
  <si>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</si>
  <si>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</si>
  <si>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</si>
  <si>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</si>
  <si>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</si>
  <si>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</si>
  <si>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</si>
  <si>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</si>
  <si>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</si>
  <si>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</si>
  <si>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</si>
  <si>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</si>
  <si>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</si>
  <si>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</si>
  <si>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</si>
  <si>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</si>
  <si>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</si>
  <si>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</si>
  <si>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</si>
  <si>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</si>
  <si>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</si>
  <si>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</si>
  <si>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</si>
  <si>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</si>
  <si>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</si>
  <si>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</si>
  <si>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</si>
  <si>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</si>
  <si>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</si>
  <si>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</si>
  <si>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</si>
  <si>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</si>
  <si>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</si>
  <si>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</si>
  <si>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</si>
  <si>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</si>
  <si>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</si>
  <si>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</si>
  <si>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</si>
  <si>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</si>
  <si>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</si>
  <si>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</si>
  <si>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</si>
  <si>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</si>
  <si>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</si>
  <si>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</si>
  <si>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</si>
  <si>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</si>
  <si>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</si>
  <si>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</si>
  <si>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</si>
  <si>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</si>
  <si>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</si>
  <si>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</si>
  <si>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</si>
  <si>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</si>
  <si>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</si>
  <si>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</si>
  <si>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</si>
  <si>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</si>
  <si>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</si>
  <si>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</si>
  <si>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</si>
  <si>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</si>
  <si>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</si>
  <si>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</si>
  <si>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</si>
  <si>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</si>
  <si>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</si>
  <si>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</si>
  <si>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</si>
  <si>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</si>
  <si>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</si>
  <si>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</si>
  <si>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</si>
  <si>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</si>
  <si>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</si>
  <si>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</si>
  <si>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</si>
  <si>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</si>
  <si>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</si>
  <si>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</si>
  <si>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</si>
  <si>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</si>
  <si>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</si>
  <si>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</si>
  <si>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</si>
  <si>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</si>
  <si>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</si>
  <si>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</si>
  <si>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</si>
  <si>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</si>
  <si>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</si>
  <si>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</si>
  <si>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</si>
  <si>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</si>
  <si>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</si>
  <si>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</si>
  <si>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</si>
  <si>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</si>
  <si>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</si>
  <si>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</si>
  <si>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</si>
  <si>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</si>
  <si>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</si>
  <si>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</si>
  <si>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</si>
  <si>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</si>
  <si>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</si>
  <si>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</si>
  <si>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</si>
  <si>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</si>
  <si>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</si>
  <si>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</si>
  <si>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</si>
  <si>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</si>
  <si>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</si>
  <si>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</si>
  <si>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</si>
  <si>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</si>
  <si>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</si>
  <si>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</si>
  <si>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</si>
  <si>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</si>
  <si>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</si>
  <si>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</si>
  <si>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</si>
  <si>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</si>
  <si>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</si>
  <si>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</si>
  <si>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</si>
  <si>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</si>
  <si>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</si>
  <si>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</si>
  <si>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</si>
  <si>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</si>
  <si>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</si>
  <si>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</si>
  <si>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</si>
  <si>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</si>
  <si>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</si>
  <si>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</si>
  <si>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</si>
  <si>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</si>
  <si>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</si>
  <si>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</si>
  <si>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</si>
  <si>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</si>
  <si>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</si>
  <si>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</si>
  <si>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</si>
  <si>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</si>
  <si>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</si>
  <si>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</si>
  <si>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</si>
  <si>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</si>
  <si>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</si>
  <si>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</si>
  <si>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</si>
  <si>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</si>
  <si>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</si>
  <si>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</si>
  <si>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</si>
  <si>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</si>
  <si>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</si>
  <si>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</si>
  <si>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</si>
  <si>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</si>
  <si>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</si>
  <si>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</si>
  <si>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</si>
  <si>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</si>
  <si>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</si>
  <si>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</si>
  <si>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</si>
  <si>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</si>
  <si>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</si>
  <si>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</si>
  <si>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</si>
  <si>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</si>
  <si>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</si>
  <si>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</si>
  <si>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</si>
  <si>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</si>
  <si>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</si>
  <si>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</si>
  <si>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</si>
  <si>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</si>
  <si>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</si>
  <si>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</si>
  <si>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</si>
  <si>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</si>
  <si>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</si>
  <si>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</si>
  <si>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</si>
  <si>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</si>
  <si>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</si>
  <si>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</si>
  <si>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</si>
  <si>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</si>
  <si>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</si>
  <si>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</si>
  <si>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</si>
  <si>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</si>
  <si>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</si>
  <si>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</si>
  <si>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</si>
  <si>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</si>
  <si>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</si>
  <si>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</si>
  <si>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</si>
  <si>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</si>
  <si>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</si>
  <si>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</si>
  <si>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</si>
  <si>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</si>
  <si>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</si>
  <si>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</si>
  <si>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</si>
  <si>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</si>
  <si>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</si>
  <si>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</si>
  <si>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</si>
  <si>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</si>
  <si>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</si>
  <si>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</si>
  <si>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</si>
  <si>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</si>
  <si>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</si>
  <si>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</si>
  <si>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</si>
  <si>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</si>
  <si>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</si>
  <si>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</si>
  <si>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</si>
  <si>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</si>
  <si>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</si>
  <si>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</si>
  <si>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</si>
  <si>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</si>
  <si>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</si>
  <si>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</si>
  <si>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</si>
  <si>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</si>
  <si>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</si>
  <si>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</si>
  <si>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</si>
  <si>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</si>
  <si>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</si>
  <si>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</si>
  <si>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</si>
  <si>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</si>
  <si>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</si>
  <si>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</si>
  <si>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</si>
  <si>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</si>
  <si>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</si>
  <si>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</si>
  <si>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</si>
  <si>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</si>
  <si>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</si>
  <si>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</si>
  <si>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</si>
  <si>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</si>
  <si>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</si>
  <si>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</si>
  <si>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</si>
  <si>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</si>
  <si>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</si>
  <si>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</si>
  <si>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</si>
  <si>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</si>
  <si>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</si>
  <si>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</si>
  <si>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</si>
  <si>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</si>
  <si>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</si>
  <si>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</si>
  <si>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</si>
  <si>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</si>
  <si>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</si>
  <si>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</si>
  <si>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</si>
  <si>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</si>
  <si>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</si>
  <si>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</si>
  <si>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</si>
  <si>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</si>
  <si>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</si>
  <si>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</si>
  <si>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</si>
  <si>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</si>
  <si>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</si>
  <si>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</si>
  <si>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</si>
  <si>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</si>
  <si>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</si>
  <si>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</si>
  <si>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</si>
  <si>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</si>
  <si>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</si>
  <si>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</si>
  <si>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</si>
  <si>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</si>
  <si>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</si>
  <si>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</si>
  <si>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</si>
  <si>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</si>
  <si>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</si>
  <si>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</si>
  <si>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</si>
  <si>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</si>
  <si>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</si>
  <si>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</si>
  <si>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</si>
  <si>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</si>
  <si>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</si>
  <si>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</si>
  <si>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</si>
  <si>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</si>
  <si>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</si>
  <si>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</si>
  <si>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</si>
  <si>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</si>
  <si>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</si>
  <si>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</si>
  <si>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</si>
  <si>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</si>
  <si>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</si>
  <si>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</si>
  <si>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</si>
  <si>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</si>
  <si>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</si>
  <si>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</si>
  <si>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</si>
  <si>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</si>
  <si>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</si>
  <si>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</si>
  <si>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</si>
  <si>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</si>
  <si>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</si>
  <si>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</si>
  <si>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</si>
  <si>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</si>
  <si>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</si>
  <si>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</si>
  <si>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</si>
  <si>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</si>
  <si>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</si>
  <si>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</si>
  <si>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</si>
  <si>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</si>
  <si>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</si>
  <si>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</si>
  <si>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</si>
  <si>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</si>
  <si>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</si>
  <si>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</si>
  <si>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</si>
  <si>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</si>
  <si>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</si>
  <si>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</si>
  <si>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</si>
  <si>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</si>
  <si>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</si>
  <si>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</si>
  <si>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</si>
  <si>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</si>
  <si>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</si>
  <si>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</si>
  <si>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</si>
  <si>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</si>
  <si>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</si>
  <si>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</si>
  <si>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</si>
  <si>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</si>
  <si>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</si>
  <si>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</si>
  <si>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</si>
  <si>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</si>
  <si>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</si>
  <si>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</si>
  <si>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</si>
  <si>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</si>
  <si>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</si>
  <si>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</si>
  <si>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</si>
  <si>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</si>
  <si>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</si>
  <si>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</si>
  <si>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</si>
  <si>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</si>
  <si>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</si>
  <si>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</si>
  <si>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</si>
  <si>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</si>
  <si>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</si>
  <si>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</si>
  <si>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</si>
  <si>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</si>
  <si>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</si>
  <si>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</si>
  <si>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</si>
  <si>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</si>
  <si>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</si>
  <si>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</si>
  <si>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</si>
  <si>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</si>
  <si>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</si>
  <si>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</si>
  <si>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</si>
  <si>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</si>
  <si>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</si>
  <si>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</si>
  <si>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</si>
  <si>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</si>
  <si>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</si>
  <si>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</si>
  <si>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</si>
  <si>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</si>
  <si>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</si>
  <si>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</si>
  <si>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</si>
  <si>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</si>
  <si>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</si>
  <si>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</si>
  <si>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</si>
  <si>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</si>
  <si>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</si>
  <si>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</si>
  <si>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</si>
  <si>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</si>
  <si>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</si>
  <si>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</si>
  <si>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</si>
  <si>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</si>
  <si>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</si>
  <si>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</si>
  <si>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</si>
  <si>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</si>
  <si>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</si>
  <si>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</si>
  <si>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</si>
  <si>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</si>
  <si>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</si>
  <si>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</si>
  <si>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</si>
  <si>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</si>
  <si>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</si>
  <si>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</si>
  <si>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</si>
  <si>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</si>
  <si>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</si>
  <si>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</si>
  <si>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</si>
  <si>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</si>
  <si>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</si>
  <si>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</si>
  <si>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</si>
  <si>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</si>
  <si>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</si>
  <si>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</si>
  <si>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</si>
  <si>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</si>
  <si>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</si>
  <si>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</si>
  <si>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</si>
  <si>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</si>
  <si>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</si>
  <si>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</si>
  <si>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</si>
  <si>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</si>
  <si>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</si>
  <si>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</si>
  <si>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</si>
  <si>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</si>
  <si>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</si>
  <si>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</si>
  <si>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</si>
  <si>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</si>
  <si>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</si>
  <si>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</si>
  <si>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</si>
  <si>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</si>
  <si>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</si>
  <si>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</si>
  <si>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</si>
  <si>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</si>
  <si>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</si>
  <si>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</si>
  <si>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</si>
  <si>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</si>
  <si>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</si>
  <si>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</si>
  <si>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</si>
  <si>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</si>
  <si>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</si>
  <si>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</si>
  <si>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</si>
  <si>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</si>
  <si>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</si>
  <si>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</si>
  <si>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</si>
  <si>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</si>
  <si>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</si>
  <si>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</si>
  <si>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</si>
  <si>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</si>
  <si>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</si>
  <si>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</si>
  <si>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</si>
  <si>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</si>
  <si>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</si>
  <si>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</si>
  <si>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</si>
  <si>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</si>
  <si>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</si>
  <si>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</si>
  <si>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</si>
  <si>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</si>
  <si>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</si>
  <si>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</si>
  <si>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</si>
  <si>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</si>
  <si>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</si>
  <si>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</si>
  <si>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</si>
  <si>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</si>
  <si>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</si>
  <si>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</si>
  <si>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</si>
  <si>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</si>
  <si>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</si>
  <si>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</si>
  <si>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</si>
  <si>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</si>
  <si>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</si>
  <si>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</si>
  <si>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</si>
  <si>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</si>
  <si>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</si>
  <si>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</si>
  <si>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</si>
  <si>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</si>
  <si>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</si>
  <si>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</si>
  <si>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</si>
  <si>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</si>
  <si>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</si>
  <si>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</si>
  <si>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</si>
  <si>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</si>
  <si>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</si>
  <si>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</si>
  <si>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</si>
  <si>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</si>
  <si>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</si>
  <si>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</si>
  <si>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</si>
  <si>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</si>
  <si>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</si>
  <si>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</si>
  <si>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</si>
  <si>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</si>
  <si>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</si>
  <si>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</si>
  <si>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</si>
  <si>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</si>
  <si>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</si>
  <si>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</si>
  <si>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</si>
  <si>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</si>
  <si>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</si>
  <si>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</si>
  <si>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</si>
  <si>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</si>
  <si>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</si>
  <si>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</si>
  <si>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</si>
  <si>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</si>
  <si>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</si>
  <si>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</si>
  <si>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</si>
  <si>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</si>
  <si>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</si>
  <si>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</si>
  <si>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</si>
  <si>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</si>
  <si>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</si>
  <si>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</si>
  <si>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</si>
  <si>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</si>
  <si>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</si>
  <si>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</si>
  <si>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</si>
  <si>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</si>
  <si>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</si>
  <si>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</si>
  <si>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</si>
  <si>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</si>
  <si>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</si>
  <si>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</si>
  <si>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</si>
  <si>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</si>
  <si>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</si>
  <si>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</si>
  <si>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</si>
  <si>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</si>
  <si>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</si>
  <si>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</si>
  <si>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</si>
  <si>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</si>
  <si>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</si>
  <si>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</si>
  <si>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</si>
  <si>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</si>
  <si>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</si>
  <si>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</si>
  <si>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</si>
  <si>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</si>
  <si>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</si>
  <si>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</si>
  <si>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</si>
  <si>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</si>
  <si>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</si>
  <si>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</si>
  <si>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</si>
  <si>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</si>
  <si>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</si>
  <si>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</si>
  <si>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</si>
  <si>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</si>
  <si>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</si>
  <si>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</si>
  <si>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</si>
  <si>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</si>
  <si>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</si>
  <si>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</si>
  <si>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</si>
  <si>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</si>
  <si>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</si>
  <si>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</si>
  <si>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</si>
  <si>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</si>
  <si>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</si>
  <si>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</si>
  <si>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</si>
  <si>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</si>
  <si>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</si>
  <si>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</si>
  <si>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</si>
  <si>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</si>
  <si>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</si>
  <si>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</si>
  <si>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</si>
  <si>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</si>
  <si>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</si>
  <si>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</si>
  <si>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</si>
  <si>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</si>
  <si>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</si>
  <si>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</si>
  <si>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</si>
  <si>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</si>
  <si>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</si>
  <si>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</si>
  <si>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</si>
  <si>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</si>
  <si>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</si>
  <si>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</si>
  <si>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</si>
  <si>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</si>
  <si>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</si>
  <si>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</si>
  <si>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</si>
  <si>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</si>
  <si>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</si>
  <si>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</si>
  <si>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</si>
  <si>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</si>
  <si>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</si>
  <si>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</si>
  <si>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</si>
  <si>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</si>
  <si>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</si>
  <si>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</si>
  <si>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</si>
  <si>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</si>
  <si>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</si>
  <si>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</si>
  <si>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</si>
  <si>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</si>
  <si>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</si>
  <si>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</si>
  <si>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</si>
  <si>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</si>
  <si>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</si>
  <si>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</si>
  <si>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</si>
  <si>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</si>
  <si>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</si>
  <si>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</si>
  <si>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</si>
  <si>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</si>
  <si>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</si>
  <si>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</si>
  <si>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</si>
  <si>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</si>
  <si>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</si>
  <si>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</si>
  <si>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</si>
  <si>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</si>
  <si>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</si>
  <si>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</si>
  <si>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</si>
  <si>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</si>
  <si>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</si>
  <si>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</si>
  <si>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</si>
  <si>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</si>
  <si>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</si>
  <si>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</si>
  <si>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</si>
  <si>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</si>
  <si>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</si>
  <si>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</si>
  <si>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</si>
  <si>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</si>
  <si>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</si>
  <si>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</si>
  <si>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</si>
  <si>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</si>
  <si>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</si>
  <si>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</si>
  <si>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</si>
  <si>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</si>
  <si>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</si>
  <si>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</si>
  <si>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</si>
  <si>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</si>
  <si>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</si>
  <si>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</si>
  <si>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</si>
  <si>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</si>
  <si>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</si>
  <si>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</si>
  <si>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</si>
  <si>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</si>
  <si>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</si>
  <si>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</si>
  <si>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</si>
  <si>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</si>
  <si>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</si>
  <si>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</si>
  <si>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</si>
  <si>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</si>
  <si>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</si>
  <si>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</si>
  <si>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</si>
  <si>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</si>
  <si>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</si>
  <si>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</si>
  <si>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</si>
  <si>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</si>
  <si>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</si>
  <si>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</si>
  <si>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</si>
  <si>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</si>
  <si>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</si>
  <si>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</si>
  <si>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</si>
  <si>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</si>
  <si>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</si>
  <si>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</si>
  <si>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</si>
  <si>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</si>
  <si>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</si>
  <si>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</si>
  <si>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</si>
  <si>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</si>
  <si>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</si>
  <si>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</si>
  <si>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</si>
  <si>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</si>
  <si>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</si>
  <si>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</si>
  <si>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</si>
  <si>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</si>
  <si>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</si>
  <si>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</si>
  <si>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</si>
  <si>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</si>
  <si>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</si>
  <si>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</si>
  <si>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</si>
  <si>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</si>
  <si>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</si>
  <si>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</si>
  <si>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</si>
  <si>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</si>
  <si>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</si>
  <si>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</si>
  <si>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</si>
  <si>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</si>
  <si>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</si>
  <si>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</si>
  <si>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</si>
  <si>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</si>
  <si>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</si>
  <si>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</si>
  <si>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</si>
  <si>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</si>
  <si>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</si>
  <si>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</si>
  <si>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</si>
  <si>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</si>
  <si>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</si>
  <si>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</si>
  <si>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</si>
  <si>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</si>
  <si>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</si>
  <si>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</si>
  <si>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</si>
  <si>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</si>
  <si>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</si>
  <si>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</si>
  <si>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</si>
  <si>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</si>
  <si>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</si>
  <si>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</si>
  <si>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</si>
  <si>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</si>
  <si>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</si>
  <si>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</si>
  <si>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</si>
  <si>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</si>
  <si>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</si>
  <si>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</si>
  <si>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</si>
  <si>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</si>
  <si>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</si>
  <si>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</si>
  <si>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</si>
  <si>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</si>
  <si>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</si>
  <si>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</si>
  <si>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</si>
  <si>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</si>
  <si>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</si>
  <si>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</si>
  <si>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</si>
  <si>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</si>
  <si>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</si>
  <si>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</si>
  <si>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</si>
  <si>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</si>
  <si>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</si>
  <si>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</si>
  <si>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</si>
  <si>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</si>
  <si>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</si>
  <si>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</si>
  <si>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</si>
  <si>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</si>
  <si>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</si>
  <si>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</si>
  <si>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</si>
  <si>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</si>
  <si>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</si>
  <si>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</si>
  <si>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</si>
  <si>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</si>
  <si>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</si>
  <si>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</si>
  <si>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</si>
  <si>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</si>
  <si>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</si>
  <si>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</si>
  <si>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</si>
  <si>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</si>
  <si>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</si>
  <si>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</si>
  <si>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</si>
  <si>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</si>
  <si>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</si>
  <si>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</si>
  <si>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</si>
  <si>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</si>
  <si>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</si>
  <si>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</si>
  <si>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</si>
  <si>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</si>
  <si>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</si>
  <si>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</si>
  <si>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</si>
  <si>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</si>
  <si>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</si>
  <si>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</si>
  <si>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</si>
  <si>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</si>
  <si>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</si>
  <si>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</si>
  <si>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</si>
  <si>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</si>
  <si>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</si>
  <si>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</si>
  <si>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</si>
  <si>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</si>
  <si>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</si>
  <si>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</si>
  <si>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</si>
  <si>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</si>
  <si>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</si>
  <si>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</si>
  <si>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</si>
  <si>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</si>
  <si>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</si>
  <si>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</si>
  <si>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</si>
  <si>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</si>
  <si>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</si>
  <si>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</si>
  <si>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</si>
  <si>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</si>
  <si>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</si>
  <si>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</si>
  <si>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</si>
  <si>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</si>
  <si>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</si>
  <si>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</si>
  <si>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</si>
  <si>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</si>
  <si>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</si>
  <si>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</si>
  <si>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</si>
  <si>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</si>
  <si>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</si>
  <si>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</si>
  <si>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</si>
  <si>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</si>
  <si>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</si>
  <si>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</si>
  <si>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</si>
  <si>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</si>
  <si>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</si>
  <si>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</si>
  <si>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</si>
  <si>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</si>
  <si>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</si>
  <si>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</si>
  <si>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</si>
  <si>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</si>
  <si>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</si>
  <si>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</si>
  <si>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</si>
  <si>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</si>
  <si>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</si>
  <si>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</si>
  <si>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</si>
  <si>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</si>
  <si>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</si>
  <si>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</si>
  <si>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</si>
  <si>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</si>
  <si>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</si>
  <si>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</si>
  <si>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</si>
  <si>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</si>
  <si>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</si>
  <si>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</si>
  <si>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</si>
  <si>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</si>
  <si>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</si>
  <si>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</si>
  <si>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</si>
  <si>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</si>
  <si>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</si>
  <si>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</si>
  <si>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</si>
  <si>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</si>
  <si>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</si>
  <si>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</si>
  <si>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</si>
  <si>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</si>
  <si>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</si>
  <si>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</si>
  <si>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</si>
  <si>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</si>
  <si>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</si>
  <si>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</si>
  <si>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</si>
  <si>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</si>
  <si>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</si>
  <si>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</si>
  <si>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</si>
  <si>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</si>
  <si>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</si>
  <si>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</si>
  <si>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</si>
  <si>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</si>
  <si>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</si>
  <si>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</si>
  <si>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</si>
  <si>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</si>
  <si>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</si>
  <si>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</si>
  <si>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</si>
  <si>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</si>
  <si>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</si>
  <si>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</si>
  <si>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</si>
  <si>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</si>
  <si>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</si>
  <si>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</si>
  <si>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</si>
  <si>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</si>
  <si>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</si>
  <si>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</si>
  <si>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</si>
  <si>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</si>
  <si>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</si>
  <si>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</si>
  <si>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</si>
  <si>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</si>
  <si>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</si>
  <si>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</si>
  <si>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</si>
  <si>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</si>
  <si>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</si>
  <si>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</si>
  <si>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</si>
  <si>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</si>
  <si>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</si>
  <si>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</si>
  <si>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</si>
  <si>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</si>
  <si>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</si>
  <si>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</si>
  <si>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</si>
  <si>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</si>
  <si>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</si>
  <si>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</si>
  <si>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</si>
  <si>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</si>
  <si>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</si>
  <si>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</si>
  <si>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</si>
  <si>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</si>
  <si>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</si>
  <si>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</si>
  <si>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</si>
  <si>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</si>
  <si>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</si>
  <si>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</si>
  <si>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</si>
  <si>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</si>
  <si>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</si>
  <si>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</si>
  <si>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</si>
  <si>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</si>
  <si>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</si>
  <si>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</si>
  <si>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</si>
  <si>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</si>
  <si>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</si>
  <si>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</si>
  <si>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</si>
  <si>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</si>
  <si>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</si>
  <si>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</si>
  <si>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</si>
  <si>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</si>
  <si>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</si>
  <si>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</si>
  <si>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</si>
  <si>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</si>
  <si>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</si>
  <si>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</si>
  <si>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</si>
  <si>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</si>
  <si>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</si>
  <si>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</si>
  <si>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</si>
  <si>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</si>
  <si>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</si>
  <si>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</si>
  <si>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</si>
  <si>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</si>
  <si>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</si>
  <si>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</si>
  <si>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</si>
  <si>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</si>
  <si>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</si>
  <si>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</si>
  <si>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</si>
  <si>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</si>
  <si>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</si>
  <si>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</si>
  <si>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</si>
  <si>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</si>
  <si>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</si>
  <si>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</si>
  <si>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</si>
  <si>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</si>
  <si>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</si>
  <si>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</si>
  <si>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</si>
  <si>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</si>
  <si>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</si>
  <si>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</si>
  <si>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</si>
  <si>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</si>
  <si>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</si>
  <si>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</si>
  <si>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</si>
  <si>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</si>
  <si>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</si>
  <si>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</si>
  <si>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</si>
  <si>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</si>
  <si>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</si>
  <si>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</si>
  <si>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</si>
  <si>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</si>
  <si>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</si>
  <si>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</si>
  <si>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</si>
  <si>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</si>
  <si>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</si>
  <si>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</si>
  <si>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</si>
  <si>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</si>
  <si>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</si>
  <si>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</si>
  <si>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</si>
  <si>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</si>
  <si>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</si>
  <si>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</si>
  <si>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</si>
  <si>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</si>
  <si>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</si>
  <si>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</si>
  <si>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</si>
  <si>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</si>
  <si>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</si>
  <si>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</si>
  <si>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</si>
  <si>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</si>
  <si>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</si>
  <si>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</si>
  <si>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</si>
  <si>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</si>
  <si>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</si>
  <si>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</si>
  <si>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</si>
  <si>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</si>
  <si>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</si>
  <si>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</si>
  <si>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</si>
  <si>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</si>
  <si>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</si>
  <si>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</si>
  <si>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</si>
  <si>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</si>
  <si>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</si>
  <si>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</si>
  <si>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</si>
  <si>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</si>
  <si>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</si>
  <si>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</si>
  <si>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</si>
  <si>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</si>
  <si>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</si>
  <si>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</si>
  <si>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</si>
  <si>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</si>
  <si>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</si>
  <si>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</si>
  <si>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</si>
  <si>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</si>
  <si>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</si>
  <si>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</si>
  <si>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</si>
  <si>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</si>
  <si>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</si>
  <si>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</si>
  <si>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</si>
  <si>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</si>
  <si>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</si>
  <si>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</si>
  <si>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</si>
  <si>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</si>
  <si>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</si>
  <si>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</si>
  <si>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</si>
  <si>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</si>
  <si>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</si>
  <si>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</si>
  <si>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</si>
  <si>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</si>
  <si>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</si>
  <si>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</si>
  <si>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</si>
  <si>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</si>
  <si>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</si>
  <si>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</si>
  <si>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</si>
  <si>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</si>
  <si>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</si>
  <si>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</si>
  <si>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</si>
  <si>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</si>
  <si>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</si>
  <si>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</si>
  <si>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</si>
  <si>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</si>
  <si>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</si>
  <si>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</si>
  <si>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</si>
  <si>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</si>
  <si>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</si>
  <si>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</si>
  <si>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</si>
  <si>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</si>
  <si>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</si>
  <si>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</si>
  <si>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</si>
  <si>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</si>
  <si>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</si>
  <si>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</si>
  <si>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</si>
  <si>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</si>
  <si>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</si>
  <si>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</si>
  <si>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</si>
  <si>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</si>
  <si>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</si>
  <si>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</si>
  <si>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</si>
  <si>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</si>
  <si>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</si>
  <si>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</si>
  <si>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</si>
  <si>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</si>
  <si>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</si>
  <si>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</si>
  <si>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</si>
  <si>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</si>
  <si>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</si>
  <si>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</si>
  <si>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</si>
  <si>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</si>
  <si>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</si>
  <si>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</si>
  <si>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</si>
  <si>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</si>
  <si>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</si>
  <si>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</si>
  <si>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</si>
  <si>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</si>
  <si>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</si>
  <si>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</si>
  <si>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</si>
  <si>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</si>
  <si>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</si>
  <si>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</si>
  <si>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</si>
  <si>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</si>
  <si>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</si>
  <si>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</si>
  <si>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</si>
  <si>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</si>
  <si>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</si>
  <si>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</si>
  <si>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</si>
  <si>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</si>
  <si>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</si>
  <si>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</si>
  <si>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</si>
  <si>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</si>
  <si>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</si>
  <si>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</si>
  <si>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</si>
  <si>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</si>
  <si>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</si>
  <si>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</si>
  <si>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</si>
  <si>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</si>
  <si>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</si>
  <si>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</si>
  <si>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</si>
  <si>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</si>
  <si>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</si>
  <si>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</si>
  <si>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</si>
  <si>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</si>
  <si>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</si>
  <si>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</si>
  <si>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</si>
  <si>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</si>
  <si>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</si>
  <si>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</si>
  <si>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</si>
  <si>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</si>
  <si>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</si>
  <si>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</si>
  <si>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</si>
  <si>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</si>
  <si>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</si>
  <si>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</si>
  <si>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</si>
  <si>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</si>
  <si>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</si>
  <si>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</si>
  <si>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</si>
  <si>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</si>
  <si>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</si>
  <si>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</si>
  <si>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</si>
  <si>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</si>
  <si>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</si>
  <si>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</si>
  <si>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</si>
  <si>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</si>
  <si>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</si>
  <si>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</si>
  <si>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</si>
  <si>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</si>
  <si>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</si>
  <si>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</si>
  <si>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</si>
  <si>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</si>
  <si>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</si>
  <si>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</si>
  <si>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</si>
  <si>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</si>
  <si>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</si>
  <si>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</si>
  <si>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</si>
  <si>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</si>
  <si>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</si>
  <si>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</si>
  <si>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</si>
  <si>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</si>
  <si>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</si>
  <si>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</si>
  <si>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</si>
  <si>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</si>
  <si>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</si>
  <si>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</si>
  <si>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</si>
  <si>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</si>
  <si>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</si>
  <si>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</si>
  <si>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</si>
  <si>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</si>
  <si>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</si>
  <si>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</si>
  <si>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</si>
  <si>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</si>
  <si>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</si>
  <si>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</si>
  <si>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</si>
  <si>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</si>
  <si>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</si>
  <si>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</si>
  <si>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</si>
  <si>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</si>
  <si>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</si>
  <si>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</si>
  <si>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</si>
  <si>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</si>
  <si>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</si>
  <si>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</si>
  <si>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</si>
  <si>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</si>
  <si>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</si>
  <si>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</si>
  <si>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</si>
  <si>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</si>
  <si>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</si>
  <si>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</si>
  <si>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</si>
  <si>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</si>
  <si>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</si>
  <si>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</si>
  <si>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</si>
  <si>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</si>
  <si>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</si>
  <si>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</si>
  <si>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</si>
  <si>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</si>
  <si>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</si>
  <si>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</si>
  <si>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</si>
  <si>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</si>
  <si>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</si>
  <si>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</si>
  <si>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</si>
  <si>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</si>
  <si>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</si>
  <si>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</si>
  <si>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</si>
  <si>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</si>
  <si>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</si>
  <si>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</si>
  <si>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</si>
  <si>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</si>
  <si>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</si>
  <si>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</si>
  <si>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</si>
  <si>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</si>
  <si>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</si>
  <si>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</si>
  <si>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</si>
  <si>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</si>
  <si>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</si>
  <si>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</si>
  <si>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</si>
  <si>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</si>
  <si>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</si>
  <si>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</si>
  <si>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</si>
  <si>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</si>
  <si>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</si>
  <si>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</si>
  <si>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</si>
  <si>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</si>
  <si>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</si>
  <si>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</si>
  <si>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</si>
  <si>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</si>
  <si>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</si>
  <si>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</si>
  <si>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</si>
  <si>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</si>
  <si>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</si>
  <si>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</si>
  <si>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</si>
  <si>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</si>
  <si>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</si>
  <si>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</si>
  <si>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</si>
  <si>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</si>
  <si>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</si>
  <si>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</si>
  <si>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</si>
  <si>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</si>
  <si>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</si>
  <si>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</si>
  <si>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</si>
  <si>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</si>
  <si>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</si>
  <si>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</si>
  <si>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</si>
  <si>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</si>
  <si>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</si>
  <si>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</si>
  <si>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</si>
  <si>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</si>
  <si>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</si>
  <si>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</si>
  <si>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</si>
  <si>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</si>
  <si>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</si>
  <si>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</si>
  <si>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</si>
  <si>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</si>
  <si>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</si>
  <si>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</si>
  <si>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</si>
  <si>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</si>
  <si>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</si>
  <si>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</si>
  <si>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</si>
  <si>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</si>
  <si>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</si>
  <si>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</si>
  <si>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</si>
  <si>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</si>
  <si>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</si>
  <si>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</si>
  <si>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</si>
  <si>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</si>
  <si>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</si>
  <si>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</si>
  <si>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</si>
  <si>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</si>
  <si>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</si>
  <si>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</si>
  <si>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</si>
  <si>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</si>
  <si>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</si>
  <si>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</si>
  <si>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</si>
  <si>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</si>
  <si>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</si>
  <si>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</si>
  <si>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</si>
  <si>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</si>
  <si>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</si>
  <si>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</si>
  <si>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</si>
  <si>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</si>
  <si>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</si>
  <si>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</si>
  <si>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</si>
  <si>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</si>
  <si>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</si>
  <si>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</si>
  <si>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</si>
  <si>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</si>
  <si>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</si>
  <si>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</si>
  <si>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</si>
  <si>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</si>
  <si>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</si>
  <si>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</si>
  <si>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</si>
  <si>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</si>
  <si>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</si>
  <si>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</si>
  <si>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</si>
  <si>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</si>
  <si>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</si>
  <si>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</si>
  <si>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</si>
  <si>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</si>
  <si>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</si>
  <si>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</si>
  <si>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</si>
  <si>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</si>
  <si>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</si>
  <si>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</si>
  <si>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</si>
  <si>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</si>
  <si>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</si>
  <si>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</si>
  <si>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</si>
  <si>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</si>
  <si>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</si>
  <si>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</si>
  <si>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</si>
  <si>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</si>
  <si>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</si>
  <si>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</si>
  <si>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</si>
  <si>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</si>
  <si>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</si>
  <si>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</si>
  <si>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</si>
  <si>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</si>
  <si>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</si>
  <si>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</si>
  <si>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</si>
  <si>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</si>
  <si>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</si>
  <si>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</si>
  <si>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</si>
  <si>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</si>
  <si>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</si>
  <si>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</si>
  <si>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</si>
  <si>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</si>
  <si>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</si>
  <si>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</si>
  <si>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</si>
  <si>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</si>
  <si>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</si>
  <si>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</si>
  <si>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</si>
  <si>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</si>
  <si>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</si>
  <si>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</si>
  <si>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</si>
  <si>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</si>
  <si>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</si>
  <si>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</si>
  <si>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</si>
  <si>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</si>
  <si>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</si>
  <si>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</si>
  <si>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</si>
  <si>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</si>
  <si>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</si>
  <si>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</si>
  <si>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</si>
  <si>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</si>
  <si>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</si>
  <si>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</si>
  <si>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</si>
  <si>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</si>
  <si>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</si>
  <si>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</si>
  <si>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</si>
  <si>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</si>
  <si>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</si>
  <si>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</si>
  <si>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</si>
  <si>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</si>
  <si>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</si>
  <si>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</si>
  <si>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</si>
  <si>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</si>
  <si>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</si>
  <si>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</si>
  <si>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</si>
  <si>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</si>
  <si>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</si>
  <si>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</si>
  <si>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</si>
  <si>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</si>
  <si>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</si>
  <si>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</si>
  <si>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</si>
  <si>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</si>
  <si>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</si>
  <si>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</si>
  <si>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</si>
  <si>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</si>
  <si>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</si>
  <si>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</si>
  <si>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</si>
  <si>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</si>
  <si>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</si>
  <si>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</si>
  <si>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</si>
  <si>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</si>
  <si>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</si>
  <si>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</si>
  <si>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</si>
  <si>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</si>
  <si>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</si>
  <si>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</si>
  <si>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</si>
  <si>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</si>
  <si>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</si>
  <si>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</si>
  <si>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</si>
  <si>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</si>
  <si>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</si>
  <si>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</si>
  <si>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</si>
  <si>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</si>
  <si>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</si>
  <si>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</si>
  <si>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</si>
  <si>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</si>
  <si>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</si>
  <si>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</si>
  <si>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</si>
  <si>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</si>
  <si>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</si>
  <si>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</si>
  <si>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</si>
  <si>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</si>
  <si>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</si>
  <si>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</si>
  <si>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</si>
  <si>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</si>
  <si>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</si>
  <si>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</si>
  <si>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</si>
  <si>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</si>
  <si>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</si>
  <si>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</si>
  <si>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</si>
  <si>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</si>
  <si>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</si>
  <si>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</si>
  <si>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</si>
  <si>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</si>
  <si>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</si>
  <si>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</si>
  <si>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</si>
  <si>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</si>
  <si>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</si>
  <si>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</si>
  <si>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</si>
  <si>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</si>
  <si>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</si>
  <si>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</si>
  <si>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</si>
  <si>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</si>
  <si>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</si>
  <si>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</si>
  <si>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</si>
  <si>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</si>
  <si>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</si>
  <si>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</si>
  <si>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</si>
  <si>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</si>
  <si>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</si>
  <si>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</si>
  <si>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</si>
  <si>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</si>
  <si>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</si>
  <si>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</si>
  <si>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</si>
  <si>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</si>
  <si>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</si>
  <si>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</si>
  <si>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</si>
  <si>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</si>
  <si>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</si>
  <si>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</si>
  <si>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</si>
  <si>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</si>
  <si>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</si>
  <si>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</si>
  <si>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</si>
  <si>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</si>
  <si>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</si>
  <si>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</si>
  <si>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</si>
  <si>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</si>
  <si>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</si>
  <si>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</si>
  <si>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</si>
  <si>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</si>
  <si>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</si>
  <si>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</si>
  <si>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</si>
  <si>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</si>
  <si>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</si>
  <si>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</si>
  <si>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</si>
  <si>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</si>
  <si>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</si>
  <si>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</si>
  <si>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</si>
  <si>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</si>
  <si>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</si>
  <si>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</si>
  <si>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</si>
  <si>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</si>
  <si>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</si>
  <si>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</si>
  <si>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</si>
  <si>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</si>
  <si>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</si>
  <si>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</si>
  <si>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</si>
  <si>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</si>
  <si>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</si>
  <si>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</si>
  <si>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</si>
  <si>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</si>
  <si>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</si>
  <si>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</si>
  <si>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</si>
  <si>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</si>
  <si>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</si>
  <si>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</si>
  <si>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</si>
  <si>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</si>
  <si>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</si>
  <si>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</si>
  <si>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</si>
  <si>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</si>
  <si>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</si>
  <si>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</si>
  <si>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</si>
  <si>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</si>
  <si>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</si>
  <si>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</si>
  <si>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</si>
  <si>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</si>
  <si>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</si>
  <si>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</si>
  <si>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</si>
  <si>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</si>
  <si>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</si>
  <si>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</si>
  <si>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</si>
  <si>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</si>
  <si>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</si>
  <si>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</si>
  <si>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</si>
  <si>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</si>
  <si>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</si>
  <si>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</si>
  <si>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</si>
  <si>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</si>
  <si>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</si>
  <si>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</si>
  <si>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</si>
  <si>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</si>
  <si>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</si>
  <si>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</si>
  <si>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</si>
  <si>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</si>
  <si>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</si>
  <si>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</si>
  <si>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</si>
  <si>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</si>
  <si>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</si>
  <si>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</si>
  <si>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</si>
  <si>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</si>
  <si>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</si>
  <si>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</si>
  <si>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</si>
  <si>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</si>
  <si>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</si>
  <si>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</si>
  <si>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</si>
  <si>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</si>
  <si>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</si>
  <si>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</si>
  <si>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</si>
  <si>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</si>
  <si>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</si>
  <si>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</si>
  <si>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</si>
  <si>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</si>
  <si>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</si>
  <si>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</si>
  <si>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</si>
  <si>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</si>
  <si>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</si>
  <si>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</si>
  <si>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</si>
  <si>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</si>
  <si>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</si>
  <si>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</si>
  <si>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</si>
  <si>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</si>
  <si>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</si>
  <si>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</si>
  <si>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</si>
  <si>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</si>
  <si>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</si>
  <si>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</si>
  <si>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</si>
  <si>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</si>
  <si>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</si>
  <si>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</si>
  <si>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</si>
  <si>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</si>
  <si>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</si>
  <si>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</si>
  <si>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</si>
  <si>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</si>
  <si>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</si>
  <si>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</si>
  <si>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</si>
  <si>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</si>
  <si>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</si>
  <si>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</si>
  <si>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</si>
  <si>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</si>
  <si>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</si>
  <si>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</si>
  <si>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</si>
  <si>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</si>
  <si>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</si>
  <si>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</si>
  <si>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</si>
  <si>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</si>
  <si>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</si>
  <si>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</si>
  <si>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</si>
  <si>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</si>
  <si>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</si>
  <si>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</si>
  <si>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</si>
  <si>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</si>
  <si>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</si>
  <si>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</si>
  <si>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</si>
  <si>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</si>
  <si>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</si>
  <si>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</si>
  <si>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</si>
  <si>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</si>
  <si>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</si>
  <si>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</si>
  <si>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</si>
  <si>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</si>
  <si>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</si>
  <si>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</si>
  <si>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</si>
  <si>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</si>
  <si>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</si>
  <si>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</si>
  <si>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</si>
  <si>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</si>
  <si>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</si>
  <si>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</si>
  <si>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</si>
  <si>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</si>
  <si>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</si>
  <si>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</si>
  <si>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</si>
  <si>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</si>
  <si>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</si>
  <si>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</si>
  <si>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</si>
  <si>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</si>
  <si>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</si>
  <si>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</si>
  <si>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</si>
  <si>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</si>
  <si>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</si>
  <si>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</si>
  <si>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</si>
  <si>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</si>
  <si>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</si>
  <si>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</si>
  <si>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</si>
  <si>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</si>
  <si>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</si>
  <si>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</si>
  <si>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</si>
  <si>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</si>
  <si>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</si>
  <si>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</si>
  <si>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</si>
  <si>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</si>
  <si>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</si>
  <si>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</si>
  <si>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</si>
  <si>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</si>
  <si>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</si>
  <si>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</si>
  <si>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</si>
  <si>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</si>
  <si>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</si>
  <si>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</si>
  <si>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</si>
  <si>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</si>
  <si>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</si>
  <si>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</si>
  <si>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</si>
  <si>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</si>
  <si>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</si>
  <si>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</si>
  <si>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</si>
  <si>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</si>
  <si>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</si>
  <si>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</si>
  <si>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</si>
  <si>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</si>
  <si>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</si>
  <si>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</si>
  <si>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</si>
  <si>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</si>
  <si>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</si>
  <si>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</si>
  <si>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</si>
  <si>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</si>
  <si>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</si>
  <si>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</si>
  <si>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</si>
  <si>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</si>
  <si>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</si>
  <si>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</si>
  <si>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</si>
  <si>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</si>
  <si>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</si>
  <si>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</si>
  <si>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</si>
  <si>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</si>
  <si>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</si>
  <si>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</si>
  <si>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</si>
  <si>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</si>
  <si>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</si>
  <si>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</si>
  <si>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</si>
  <si>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</si>
  <si>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</si>
  <si>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</si>
  <si>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</si>
  <si>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</si>
  <si>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</si>
  <si>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</si>
  <si>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</si>
  <si>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</si>
  <si>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</si>
  <si>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</si>
  <si>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</si>
  <si>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</si>
  <si>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</si>
  <si>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</si>
  <si>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</si>
  <si>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</si>
  <si>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</si>
  <si>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</si>
  <si>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</si>
  <si>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</si>
  <si>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</si>
  <si>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</si>
  <si>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</si>
  <si>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</si>
  <si>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</si>
  <si>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</si>
  <si>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</si>
  <si>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</si>
  <si>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</si>
  <si>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</si>
  <si>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</si>
  <si>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</si>
  <si>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</si>
  <si>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</si>
  <si>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</si>
  <si>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</si>
  <si>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</si>
  <si>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</si>
  <si>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</si>
  <si>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</si>
  <si>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</si>
  <si>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</si>
  <si>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</si>
  <si>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</si>
  <si>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</si>
  <si>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</si>
  <si>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</si>
  <si>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</si>
  <si>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</si>
  <si>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</si>
  <si>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</si>
  <si>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</si>
  <si>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</si>
  <si>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</si>
  <si>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</si>
  <si>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</si>
  <si>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</si>
  <si>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</si>
  <si>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</si>
  <si>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</si>
  <si>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</si>
  <si>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</si>
  <si>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</si>
  <si>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</si>
  <si>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</si>
  <si>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</si>
  <si>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</si>
  <si>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</si>
  <si>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</si>
  <si>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</si>
  <si>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</si>
  <si>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</si>
  <si>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</si>
  <si>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</si>
  <si>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</si>
  <si>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</si>
  <si>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</si>
  <si>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</si>
  <si>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</si>
  <si>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</si>
  <si>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</si>
  <si>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</si>
  <si>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</si>
  <si>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</si>
  <si>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</si>
  <si>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</si>
  <si>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</si>
  <si>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</si>
  <si>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</si>
  <si>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</si>
  <si>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</si>
  <si>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</si>
  <si>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</si>
  <si>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</si>
  <si>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</si>
  <si>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</si>
  <si>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</si>
  <si>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</si>
  <si>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</si>
  <si>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</si>
  <si>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</si>
  <si>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</si>
  <si>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</si>
  <si>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</si>
  <si>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</si>
  <si>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</si>
  <si>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</si>
  <si>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</si>
  <si>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</si>
  <si>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</si>
  <si>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</si>
  <si>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</si>
  <si>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</si>
  <si>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</si>
  <si>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</si>
  <si>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</si>
  <si>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</si>
  <si>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</si>
  <si>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</si>
  <si>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</si>
  <si>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</si>
  <si>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</si>
  <si>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</si>
  <si>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</si>
  <si>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</si>
  <si>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</si>
  <si>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</si>
  <si>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</si>
  <si>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</si>
  <si>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</si>
  <si>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</si>
  <si>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</si>
  <si>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</si>
  <si>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</si>
  <si>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</si>
  <si>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</si>
  <si>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</si>
  <si>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</si>
  <si>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</si>
  <si>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</si>
  <si>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</si>
  <si>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</si>
  <si>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</si>
  <si>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</si>
  <si>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</si>
  <si>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</si>
  <si>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</si>
  <si>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</si>
  <si>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</si>
  <si>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</si>
  <si>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</si>
  <si>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</si>
  <si>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</si>
  <si>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</si>
  <si>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</si>
  <si>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</si>
  <si>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</si>
  <si>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</si>
  <si>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</si>
  <si>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</si>
  <si>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</si>
  <si>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</si>
  <si>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</si>
  <si>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</si>
  <si>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</si>
  <si>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</si>
  <si>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</si>
  <si>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</si>
  <si>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</si>
  <si>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</si>
  <si>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</si>
  <si>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</si>
  <si>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</si>
  <si>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</si>
  <si>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</si>
  <si>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</si>
  <si>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</si>
  <si>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</si>
  <si>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</si>
  <si>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</si>
  <si>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</si>
  <si>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</si>
  <si>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</si>
  <si>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</si>
  <si>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</si>
  <si>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</si>
  <si>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</si>
  <si>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</si>
  <si>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</si>
  <si>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</si>
  <si>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</si>
  <si>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</si>
  <si>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</si>
  <si>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</si>
  <si>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</si>
  <si>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</si>
  <si>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</si>
  <si>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</si>
  <si>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</si>
  <si>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</si>
  <si>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</si>
  <si>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</si>
  <si>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</si>
  <si>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</si>
  <si>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</si>
  <si>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</si>
  <si>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</si>
  <si>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</si>
  <si>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</si>
  <si>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</si>
  <si>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</si>
  <si>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</si>
  <si>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</si>
  <si>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</si>
  <si>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</si>
  <si>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</si>
  <si>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</si>
  <si>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</si>
  <si>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</si>
  <si>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</si>
  <si>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</si>
  <si>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</si>
  <si>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</si>
  <si>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</si>
  <si>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</si>
  <si>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</si>
  <si>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</si>
  <si>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</si>
  <si>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</si>
  <si>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</si>
  <si>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</si>
  <si>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</si>
  <si>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</si>
  <si>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</si>
  <si>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</si>
  <si>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</si>
  <si>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</si>
  <si>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</si>
  <si>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</si>
  <si>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</si>
  <si>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</si>
  <si>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</si>
  <si>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</si>
  <si>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</si>
  <si>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</si>
  <si>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</si>
  <si>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</si>
  <si>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</si>
  <si>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</si>
  <si>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</si>
  <si>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</si>
  <si>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</si>
  <si>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</si>
  <si>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</si>
  <si>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</si>
  <si>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</si>
  <si>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</si>
  <si>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</si>
  <si>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</si>
  <si>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</si>
  <si>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</si>
  <si>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</si>
  <si>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</si>
  <si>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</si>
  <si>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</si>
  <si>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</si>
  <si>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</si>
  <si>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</si>
  <si>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</si>
  <si>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</si>
  <si>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</si>
  <si>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</si>
  <si>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</si>
  <si>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</si>
  <si>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</si>
  <si>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</si>
  <si>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</si>
  <si>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</si>
  <si>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</si>
  <si>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</si>
  <si>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</si>
  <si>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</si>
  <si>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</si>
  <si>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</si>
  <si>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</si>
  <si>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</si>
  <si>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</si>
  <si>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</si>
  <si>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</si>
  <si>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</si>
  <si>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</si>
  <si>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</si>
  <si>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</si>
  <si>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</si>
  <si>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</si>
  <si>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</si>
  <si>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</si>
  <si>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</si>
  <si>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</si>
  <si>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</si>
  <si>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</si>
  <si>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</si>
  <si>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</si>
  <si>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</si>
  <si>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</si>
  <si>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</si>
  <si>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</si>
  <si>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</si>
  <si>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</si>
  <si>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</si>
  <si>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</si>
  <si>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</si>
  <si>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</si>
  <si>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</si>
  <si>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</si>
  <si>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</si>
  <si>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</si>
  <si>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</si>
  <si>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</si>
  <si>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</si>
  <si>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</si>
  <si>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</si>
  <si>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</si>
  <si>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</si>
  <si>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</si>
  <si>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</si>
  <si>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</si>
  <si>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</si>
  <si>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</si>
  <si>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</si>
  <si>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</si>
  <si>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</si>
  <si>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</si>
  <si>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</si>
  <si>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</si>
  <si>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</si>
  <si>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</si>
  <si>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</si>
  <si>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</si>
  <si>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</si>
  <si>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</si>
  <si>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</si>
  <si>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</si>
  <si>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</si>
  <si>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</si>
  <si>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</si>
  <si>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</si>
  <si>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</si>
  <si>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</si>
  <si>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</si>
  <si>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</si>
  <si>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</si>
  <si>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</si>
  <si>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</si>
  <si>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</si>
  <si>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</si>
  <si>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</si>
  <si>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</si>
  <si>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</si>
  <si>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</si>
  <si>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</si>
  <si>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</si>
  <si>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</si>
  <si>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</si>
  <si>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</si>
  <si>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</si>
  <si>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</si>
  <si>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</si>
  <si>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</si>
  <si>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</si>
  <si>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</si>
  <si>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</si>
  <si>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</si>
  <si>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</si>
  <si>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</si>
  <si>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</si>
  <si>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</si>
  <si>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</si>
  <si>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</si>
  <si>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</si>
  <si>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</si>
  <si>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</si>
  <si>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</si>
  <si>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</si>
  <si>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</si>
  <si>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</si>
  <si>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</si>
  <si>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</si>
  <si>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</si>
  <si>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</si>
  <si>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</si>
  <si>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</si>
  <si>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</si>
  <si>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</si>
  <si>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</si>
  <si>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</si>
  <si>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</si>
  <si>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</si>
  <si>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</si>
  <si>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</si>
  <si>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</si>
  <si>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</si>
  <si>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</si>
  <si>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</si>
  <si>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</si>
  <si>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</si>
  <si>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</si>
  <si>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</si>
  <si>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</si>
  <si>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</si>
  <si>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</si>
  <si>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</si>
  <si>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</si>
  <si>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</si>
  <si>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</si>
  <si>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</si>
  <si>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</si>
  <si>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</si>
  <si>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</si>
  <si>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</si>
  <si>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</si>
  <si>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</si>
  <si>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</si>
  <si>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</si>
  <si>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</si>
  <si>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</si>
  <si>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</si>
  <si>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</si>
  <si>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</si>
  <si>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</si>
  <si>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</si>
  <si>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</si>
  <si>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</si>
  <si>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</si>
  <si>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</si>
  <si>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</si>
  <si>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</si>
  <si>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</si>
  <si>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</si>
  <si>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</si>
  <si>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</si>
  <si>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</si>
  <si>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</si>
  <si>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</si>
  <si>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</si>
  <si>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</si>
  <si>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</si>
  <si>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</si>
  <si>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</si>
  <si>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</si>
  <si>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</si>
  <si>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</si>
  <si>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</si>
  <si>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</si>
  <si>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</si>
  <si>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</si>
  <si>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</si>
  <si>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</si>
  <si>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</si>
  <si>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</si>
  <si>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</si>
  <si>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</si>
  <si>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</si>
  <si>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</si>
  <si>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</si>
  <si>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</si>
  <si>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</si>
  <si>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</si>
  <si>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</si>
  <si>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</si>
  <si>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</si>
  <si>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</si>
  <si>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</si>
  <si>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</si>
  <si>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</si>
  <si>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</si>
  <si>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</si>
  <si>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</si>
  <si>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</si>
  <si>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</si>
  <si>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</si>
  <si>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</si>
  <si>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</si>
  <si>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</si>
  <si>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</si>
  <si>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</si>
  <si>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</si>
  <si>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</si>
  <si>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</si>
  <si>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</si>
  <si>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</si>
  <si>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</si>
  <si>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</si>
  <si>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</si>
  <si>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</si>
  <si>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</si>
  <si>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</si>
  <si>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</si>
  <si>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</si>
  <si>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</si>
  <si>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</si>
  <si>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</si>
  <si>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</si>
  <si>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</si>
  <si>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</si>
  <si>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</si>
  <si>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</si>
  <si>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</si>
  <si>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</si>
  <si>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</si>
  <si>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</si>
  <si>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</si>
  <si>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</si>
  <si>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</si>
  <si>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</si>
  <si>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</si>
  <si>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</si>
  <si>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</si>
  <si>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</si>
  <si>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</si>
  <si>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</si>
  <si>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</si>
  <si>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</si>
  <si>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</si>
  <si>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</si>
  <si>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</si>
  <si>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</si>
  <si>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</si>
  <si>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</si>
  <si>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</si>
  <si>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</si>
  <si>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</si>
  <si>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</si>
  <si>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</si>
  <si>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</si>
  <si>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</si>
  <si>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</si>
  <si>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</si>
  <si>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</si>
  <si>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</si>
  <si>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</si>
  <si>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</si>
  <si>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</si>
  <si>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</si>
  <si>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</si>
  <si>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</si>
  <si>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</si>
  <si>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</si>
  <si>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</si>
  <si>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</si>
  <si>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</si>
  <si>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</si>
  <si>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</si>
  <si>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</si>
  <si>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</si>
  <si>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</si>
  <si>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</si>
  <si>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</si>
  <si>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</si>
  <si>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</si>
  <si>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</si>
  <si>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</si>
  <si>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</si>
  <si>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</si>
  <si>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</si>
  <si>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</si>
  <si>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</si>
  <si>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</si>
  <si>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</si>
  <si>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</si>
  <si>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</si>
  <si>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</si>
  <si>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</si>
  <si>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</si>
  <si>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</si>
  <si>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</si>
  <si>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</si>
  <si>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</si>
  <si>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</si>
  <si>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</si>
  <si>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</si>
  <si>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</si>
  <si>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</si>
  <si>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</si>
  <si>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</si>
  <si>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</si>
  <si>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</si>
  <si>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</si>
  <si>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</si>
  <si>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</si>
  <si>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</si>
  <si>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</si>
  <si>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</si>
  <si>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</si>
  <si>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</si>
  <si>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</si>
  <si>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</si>
  <si>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</si>
  <si>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</si>
  <si>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</si>
  <si>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</si>
  <si>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</si>
  <si>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</si>
  <si>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</si>
  <si>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</si>
  <si>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</si>
  <si>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</si>
  <si>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</si>
  <si>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</si>
  <si>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</si>
  <si>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</si>
  <si>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</si>
  <si>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</si>
  <si>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</si>
  <si>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</si>
  <si>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</si>
  <si>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</si>
  <si>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</si>
  <si>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</si>
  <si>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</si>
  <si>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</si>
  <si>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</si>
  <si>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</si>
  <si>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</si>
  <si>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</si>
  <si>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</si>
  <si>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</si>
  <si>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</si>
  <si>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</si>
  <si>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</si>
  <si>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</si>
  <si>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</si>
  <si>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</si>
  <si>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</si>
  <si>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</si>
  <si>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</si>
  <si>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</si>
  <si>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</si>
  <si>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</si>
  <si>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</si>
  <si>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</si>
  <si>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</si>
  <si>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</si>
  <si>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</si>
  <si>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</si>
  <si>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</si>
  <si>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</si>
  <si>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</si>
  <si>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</si>
  <si>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</si>
  <si>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</si>
  <si>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</si>
  <si>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</si>
  <si>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</si>
  <si>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</si>
  <si>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</si>
  <si>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</si>
  <si>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</si>
  <si>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</si>
  <si>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</si>
  <si>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</si>
  <si>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</si>
  <si>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</si>
  <si>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</si>
  <si>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</si>
  <si>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</si>
  <si>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</si>
  <si>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</si>
  <si>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</si>
  <si>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</si>
  <si>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</si>
  <si>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</si>
  <si>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</si>
  <si>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</si>
  <si>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</si>
  <si>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</si>
  <si>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</si>
  <si>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</si>
  <si>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</si>
  <si>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</si>
  <si>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</si>
  <si>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</si>
  <si>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</si>
  <si>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</si>
  <si>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</si>
  <si>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</si>
  <si>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</si>
  <si>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</si>
  <si>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</si>
  <si>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</si>
  <si>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</si>
  <si>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</si>
  <si>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</si>
  <si>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</si>
  <si>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</si>
  <si>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</si>
  <si>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</si>
  <si>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</si>
  <si>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</si>
  <si>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</si>
  <si>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</si>
  <si>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</si>
  <si>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</si>
  <si>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</si>
  <si>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</si>
  <si>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</si>
  <si>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</si>
  <si>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</si>
  <si>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</si>
  <si>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</si>
  <si>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</si>
  <si>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</si>
  <si>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</si>
  <si>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</si>
  <si>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</si>
  <si>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</si>
  <si>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</si>
  <si>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</si>
  <si>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</si>
  <si>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</si>
  <si>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</si>
  <si>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</si>
  <si>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</si>
  <si>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</si>
  <si>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</si>
  <si>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</si>
  <si>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</si>
  <si>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</si>
  <si>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</si>
  <si>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</si>
  <si>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</si>
  <si>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</si>
  <si>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</si>
  <si>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</si>
  <si>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</si>
  <si>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</si>
  <si>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</si>
  <si>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</si>
  <si>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</si>
  <si>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</si>
  <si>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</si>
  <si>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</si>
  <si>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</si>
  <si>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</si>
  <si>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</si>
  <si>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</si>
  <si>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</si>
  <si>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</si>
  <si>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</si>
  <si>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</si>
  <si>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</si>
  <si>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</si>
  <si>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</si>
  <si>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</si>
  <si>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</si>
  <si>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</si>
  <si>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</si>
  <si>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</si>
  <si>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</si>
  <si>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</si>
  <si>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</si>
  <si>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</si>
  <si>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</si>
  <si>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</si>
  <si>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</si>
  <si>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</si>
  <si>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</si>
  <si>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</si>
  <si>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</si>
  <si>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</si>
  <si>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</si>
  <si>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</si>
  <si>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</si>
  <si>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</si>
  <si>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</si>
  <si>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</si>
  <si>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</si>
  <si>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</si>
  <si>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</si>
  <si>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</si>
  <si>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</si>
  <si>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</si>
  <si>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</si>
  <si>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</si>
  <si>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</si>
  <si>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</si>
  <si>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</si>
  <si>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</si>
  <si>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</si>
  <si>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</si>
  <si>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</si>
  <si>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</si>
  <si>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</si>
  <si>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</si>
  <si>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</si>
  <si>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</si>
  <si>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</si>
  <si>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</si>
  <si>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</si>
  <si>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</si>
  <si>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</si>
  <si>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</si>
  <si>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</si>
  <si>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</si>
  <si>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</si>
  <si>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</si>
  <si>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</si>
  <si>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</si>
  <si>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</si>
  <si>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</si>
  <si>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</si>
  <si>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</si>
  <si>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</si>
  <si>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</si>
  <si>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</si>
  <si>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</si>
  <si>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</si>
  <si>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</si>
  <si>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</si>
  <si>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</si>
  <si>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</si>
  <si>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</si>
  <si>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</si>
  <si>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</si>
  <si>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</si>
  <si>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</si>
  <si>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</si>
  <si>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</si>
  <si>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</si>
  <si>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</si>
  <si>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</si>
  <si>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</si>
  <si>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</si>
  <si>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</si>
  <si>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</si>
  <si>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</si>
  <si>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</si>
  <si>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</si>
  <si>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</si>
  <si>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</si>
  <si>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</si>
  <si>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</si>
  <si>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</si>
  <si>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</si>
  <si>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</si>
  <si>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</si>
  <si>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</si>
  <si>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</si>
  <si>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</si>
  <si>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</si>
  <si>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</si>
  <si>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</si>
  <si>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</si>
  <si>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</si>
  <si>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</si>
  <si>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</si>
  <si>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</si>
  <si>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</si>
  <si>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</si>
  <si>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</si>
  <si>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</si>
  <si>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</si>
  <si>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</si>
  <si>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</si>
  <si>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</si>
  <si>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</si>
  <si>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</si>
  <si>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</si>
  <si>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</si>
  <si>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</si>
  <si>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</si>
  <si>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</si>
  <si>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</si>
  <si>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</si>
  <si>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</si>
  <si>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</si>
  <si>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</si>
  <si>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</si>
  <si>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</si>
  <si>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</si>
  <si>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</si>
  <si>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</si>
  <si>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</si>
  <si>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</si>
  <si>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</si>
  <si>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</si>
  <si>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</si>
  <si>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</si>
  <si>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</si>
  <si>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</si>
  <si>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</si>
  <si>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</si>
  <si>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</si>
  <si>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</si>
  <si>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</si>
  <si>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</si>
  <si>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</si>
  <si>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</si>
  <si>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</si>
  <si>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</si>
  <si>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</si>
  <si>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</si>
  <si>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</si>
  <si>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</si>
  <si>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</si>
  <si>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</si>
  <si>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</si>
  <si>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</si>
  <si>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</si>
  <si>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</si>
  <si>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</si>
  <si>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</si>
  <si>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</si>
  <si>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</si>
  <si>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</si>
  <si>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</si>
  <si>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</si>
  <si>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</si>
  <si>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</si>
  <si>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</si>
  <si>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</si>
  <si>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</si>
  <si>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</si>
  <si>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</si>
  <si>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</si>
  <si>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</si>
  <si>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</si>
  <si>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</si>
  <si>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</si>
  <si>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</si>
  <si>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</si>
  <si>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</si>
  <si>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</si>
  <si>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</si>
  <si>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</si>
  <si>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</si>
  <si>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</si>
  <si>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</si>
  <si>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</si>
  <si>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</si>
  <si>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</si>
  <si>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</si>
  <si>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</si>
  <si>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</si>
  <si>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</si>
  <si>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</si>
  <si>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</si>
  <si>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</si>
  <si>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</si>
  <si>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</si>
  <si>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</si>
  <si>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</si>
  <si>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</si>
  <si>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</si>
  <si>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</si>
  <si>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</si>
  <si>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</si>
  <si>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</si>
  <si>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</si>
  <si>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</si>
  <si>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</si>
  <si>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</si>
  <si>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</si>
  <si>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</si>
  <si>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</si>
  <si>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</si>
  <si>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</si>
  <si>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</si>
  <si>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</si>
  <si>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</si>
  <si>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</si>
  <si>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</si>
  <si>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</si>
  <si>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</si>
  <si>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</si>
  <si>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</si>
  <si>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</si>
  <si>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</si>
  <si>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</si>
  <si>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</si>
  <si>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</si>
  <si>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</si>
  <si>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</si>
  <si>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</si>
  <si>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</si>
  <si>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</si>
  <si>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</si>
  <si>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</si>
  <si>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</si>
  <si>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</si>
  <si>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</si>
  <si>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</si>
  <si>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</si>
  <si>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</si>
  <si>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</si>
  <si>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</si>
  <si>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</si>
  <si>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</si>
  <si>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</si>
  <si>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</si>
  <si>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</si>
  <si>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</si>
  <si>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</si>
  <si>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</si>
  <si>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</si>
  <si>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</si>
  <si>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</si>
  <si>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</si>
  <si>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</si>
  <si>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</si>
  <si>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</si>
  <si>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</si>
  <si>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</si>
  <si>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</si>
  <si>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</si>
  <si>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</si>
  <si>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</si>
  <si>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</si>
  <si>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</si>
  <si>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</si>
  <si>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</si>
  <si>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</si>
  <si>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</si>
  <si>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</si>
  <si>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</si>
  <si>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</si>
  <si>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</si>
  <si>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</si>
  <si>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</si>
  <si>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</si>
  <si>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</si>
  <si>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</si>
  <si>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</si>
  <si>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</si>
  <si>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</si>
  <si>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</si>
  <si>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</si>
  <si>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</si>
  <si>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</si>
  <si>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</si>
  <si>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</si>
  <si>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</si>
  <si>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</si>
  <si>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</si>
  <si>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</si>
  <si>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</si>
  <si>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</si>
  <si>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</si>
  <si>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</si>
  <si>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</si>
  <si>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</si>
  <si>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</si>
  <si>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</si>
  <si>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</si>
  <si>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</si>
  <si>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</si>
  <si>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</si>
  <si>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</si>
  <si>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</si>
  <si>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</si>
  <si>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</si>
  <si>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</si>
  <si>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</si>
  <si>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</si>
  <si>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</si>
  <si>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</si>
  <si>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</si>
  <si>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</si>
  <si>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</si>
  <si>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</si>
  <si>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</si>
  <si>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</si>
  <si>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</si>
  <si>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</si>
  <si>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</si>
  <si>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</si>
  <si>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</si>
  <si>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</si>
  <si>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</si>
  <si>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</si>
  <si>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</si>
  <si>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</si>
  <si>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</si>
  <si>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</si>
  <si>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</si>
  <si>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</si>
  <si>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</si>
  <si>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</si>
  <si>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</si>
  <si>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</si>
  <si>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</si>
  <si>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</si>
  <si>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</si>
  <si>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</si>
  <si>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</si>
  <si>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</si>
  <si>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</si>
  <si>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</si>
  <si>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</si>
  <si>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</si>
  <si>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</si>
  <si>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</si>
  <si>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</si>
  <si>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</si>
  <si>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</si>
  <si>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</si>
  <si>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</si>
  <si>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</si>
  <si>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</si>
  <si>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</si>
  <si>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</si>
  <si>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</si>
  <si>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</si>
  <si>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</si>
  <si>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</si>
  <si>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</si>
  <si>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</si>
  <si>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</si>
  <si>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</si>
  <si>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</si>
  <si>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</si>
  <si>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</si>
  <si>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</si>
  <si>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</si>
  <si>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</si>
  <si>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</si>
  <si>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</si>
  <si>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</si>
  <si>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</si>
  <si>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</si>
  <si>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</si>
  <si>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</si>
  <si>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</si>
  <si>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</si>
  <si>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</si>
  <si>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</si>
  <si>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</si>
  <si>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</si>
  <si>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</si>
  <si>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</si>
  <si>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</si>
  <si>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</si>
  <si>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</si>
  <si>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</si>
  <si>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</si>
  <si>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</si>
  <si>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</si>
  <si>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</si>
  <si>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</si>
  <si>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</si>
  <si>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</si>
  <si>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</si>
  <si>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</si>
  <si>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</si>
  <si>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</si>
  <si>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</si>
  <si>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</si>
  <si>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</si>
  <si>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</si>
  <si>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</si>
  <si>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</si>
  <si>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</si>
  <si>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</si>
  <si>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</si>
  <si>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</si>
  <si>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</si>
  <si>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</si>
  <si>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</si>
  <si>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</si>
  <si>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</si>
  <si>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</si>
  <si>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</si>
  <si>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</si>
  <si>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</si>
  <si>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</si>
  <si>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</si>
  <si>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</si>
  <si>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</si>
  <si>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</si>
  <si>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</si>
  <si>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</si>
  <si>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</si>
  <si>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</si>
  <si>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</si>
  <si>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</si>
  <si>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</si>
  <si>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</si>
  <si>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</si>
  <si>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</si>
  <si>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</si>
  <si>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</si>
  <si>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</si>
  <si>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</si>
  <si>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</si>
  <si>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</si>
  <si>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</si>
  <si>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</si>
  <si>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</si>
  <si>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</si>
  <si>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</si>
  <si>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</si>
  <si>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</si>
  <si>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</si>
  <si>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</si>
  <si>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</si>
  <si>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</si>
  <si>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</si>
  <si>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</si>
  <si>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</si>
  <si>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</si>
  <si>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</si>
  <si>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</si>
  <si>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</si>
  <si>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</si>
  <si>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</si>
  <si>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</si>
  <si>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</si>
  <si>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</si>
  <si>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</si>
  <si>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</si>
  <si>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</si>
  <si>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</si>
  <si>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</si>
  <si>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</si>
  <si>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</si>
  <si>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</si>
  <si>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</si>
  <si>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</si>
  <si>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</si>
  <si>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</si>
  <si>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</si>
  <si>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</si>
  <si>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</si>
  <si>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</si>
  <si>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</si>
  <si>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</si>
  <si>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</si>
  <si>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</si>
  <si>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</si>
  <si>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</si>
  <si>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</si>
  <si>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</si>
  <si>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</si>
  <si>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</si>
  <si>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</si>
  <si>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</si>
  <si>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</si>
  <si>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</si>
  <si>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</si>
  <si>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</si>
  <si>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</si>
  <si>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</si>
  <si>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</si>
  <si>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</si>
  <si>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</si>
  <si>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</si>
  <si>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</si>
  <si>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</si>
  <si>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</si>
  <si>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</si>
  <si>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</si>
  <si>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</si>
  <si>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</si>
  <si>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</si>
  <si>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</si>
  <si>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</si>
  <si>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</si>
  <si>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</si>
  <si>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</si>
  <si>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</si>
  <si>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</si>
  <si>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</si>
  <si>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</si>
  <si>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</si>
  <si>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</si>
  <si>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</si>
  <si>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</si>
  <si>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</si>
  <si>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</si>
  <si>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</si>
  <si>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</si>
  <si>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</si>
  <si>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</si>
  <si>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</si>
  <si>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</si>
  <si>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</si>
  <si>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</si>
  <si>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</si>
  <si>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</si>
  <si>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</si>
  <si>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</si>
  <si>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</si>
  <si>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</si>
  <si>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</si>
  <si>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</si>
  <si>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</si>
  <si>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</si>
  <si>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</si>
  <si>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</si>
  <si>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</si>
  <si>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</si>
  <si>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</si>
  <si>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</si>
  <si>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</si>
  <si>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</si>
  <si>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</si>
  <si>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</si>
  <si>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</si>
  <si>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</si>
  <si>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</si>
  <si>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</si>
  <si>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</si>
  <si>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</si>
  <si>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</si>
  <si>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</si>
  <si>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</si>
  <si>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</si>
  <si>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</si>
  <si>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</si>
  <si>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</si>
  <si>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</si>
  <si>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</si>
  <si>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</si>
  <si>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</si>
  <si>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</si>
  <si>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</si>
  <si>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</si>
  <si>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</si>
  <si>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</si>
  <si>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</si>
  <si>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</si>
  <si>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</si>
  <si>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</si>
  <si>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</si>
  <si>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</si>
  <si>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</si>
  <si>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</si>
  <si>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</si>
  <si>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</si>
  <si>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</si>
  <si>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</si>
  <si>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</si>
  <si>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</si>
  <si>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</si>
  <si>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</si>
  <si>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</si>
  <si>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</si>
  <si>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</si>
  <si>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</si>
  <si>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</si>
  <si>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</si>
  <si>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</si>
  <si>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</si>
  <si>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</si>
  <si>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</si>
  <si>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</si>
  <si>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</si>
  <si>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</si>
  <si>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</si>
  <si>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</si>
  <si>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</si>
  <si>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</si>
  <si>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</si>
  <si>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</si>
  <si>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</si>
  <si>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</si>
  <si>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</si>
  <si>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</si>
  <si>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</si>
  <si>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</si>
  <si>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</si>
  <si>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</si>
  <si>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</si>
  <si>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</si>
  <si>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</si>
  <si>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</si>
  <si>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</si>
  <si>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</si>
  <si>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</si>
  <si>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</si>
  <si>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</si>
  <si>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</si>
  <si>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</si>
  <si>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</si>
  <si>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</si>
  <si>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</si>
  <si>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</si>
  <si>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</si>
  <si>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</si>
  <si>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</si>
  <si>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</si>
  <si>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</si>
  <si>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</si>
  <si>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</si>
  <si>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</si>
  <si>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</si>
  <si>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</si>
  <si>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</si>
  <si>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</si>
  <si>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</si>
  <si>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</si>
  <si>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</si>
  <si>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</si>
  <si>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</si>
  <si>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</si>
  <si>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</si>
  <si>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</si>
  <si>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</si>
  <si>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</si>
  <si>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</si>
  <si>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</si>
  <si>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</si>
  <si>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</si>
  <si>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</si>
  <si>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</si>
  <si>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</si>
  <si>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</si>
  <si>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</si>
  <si>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</si>
  <si>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</si>
  <si>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</si>
  <si>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</si>
  <si>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</si>
  <si>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</si>
  <si>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</si>
  <si>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</si>
  <si>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</si>
  <si>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</si>
  <si>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</si>
  <si>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</si>
  <si>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</si>
  <si>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</si>
  <si>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</si>
  <si>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</si>
  <si>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</si>
  <si>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</si>
  <si>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</si>
  <si>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</si>
  <si>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</si>
  <si>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</si>
  <si>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</si>
  <si>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</si>
  <si>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</si>
  <si>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</si>
  <si>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</si>
  <si>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</si>
  <si>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</si>
  <si>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</si>
  <si>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</si>
  <si>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</si>
  <si>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</si>
  <si>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</si>
  <si>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</si>
  <si>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</si>
  <si>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</si>
  <si>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</si>
  <si>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</si>
  <si>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</si>
  <si>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</si>
  <si>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</si>
  <si>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</si>
  <si>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</si>
  <si>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</si>
  <si>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</si>
  <si>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</si>
  <si>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</si>
  <si>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</si>
  <si>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</si>
  <si>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</si>
  <si>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</si>
  <si>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</si>
  <si>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</si>
  <si>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</si>
  <si>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</si>
  <si>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</si>
  <si>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</si>
  <si>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</si>
  <si>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</si>
  <si>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</si>
  <si>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</si>
  <si>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</si>
  <si>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</si>
  <si>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</si>
  <si>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</si>
  <si>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</si>
  <si>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</si>
  <si>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</si>
  <si>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</si>
  <si>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</si>
  <si>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</si>
  <si>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</si>
  <si>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</si>
  <si>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</si>
  <si>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</si>
  <si>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</si>
  <si>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</si>
  <si>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</si>
  <si>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</si>
  <si>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</si>
  <si>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</si>
  <si>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</si>
  <si>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</si>
  <si>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</si>
  <si>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</si>
  <si>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</si>
  <si>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</si>
  <si>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</si>
  <si>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</si>
  <si>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</si>
  <si>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</si>
  <si>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</si>
  <si>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</si>
  <si>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</si>
  <si>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</si>
  <si>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</si>
  <si>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</si>
  <si>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</si>
  <si>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</si>
  <si>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</si>
  <si>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</si>
  <si>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</si>
  <si>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</si>
  <si>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</si>
  <si>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</si>
  <si>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</si>
  <si>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</si>
  <si>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</si>
  <si>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</si>
  <si>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</si>
  <si>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</si>
  <si>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</si>
  <si>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</si>
  <si>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</si>
  <si>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</si>
  <si>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</si>
  <si>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</si>
  <si>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</si>
  <si>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</si>
  <si>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</si>
  <si>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</si>
  <si>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</si>
  <si>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</si>
  <si>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</si>
  <si>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</si>
  <si>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</si>
  <si>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</si>
  <si>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</si>
  <si>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</si>
  <si>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</si>
  <si>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</si>
  <si>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</si>
  <si>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</si>
  <si>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</si>
  <si>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</si>
  <si>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</si>
  <si>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</si>
  <si>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</si>
  <si>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</si>
  <si>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</si>
  <si>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</si>
  <si>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</si>
  <si>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</si>
  <si>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</si>
  <si>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</si>
  <si>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</si>
  <si>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</si>
  <si>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</si>
  <si>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</si>
  <si>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</si>
  <si>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</si>
  <si>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</si>
  <si>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</si>
  <si>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</si>
  <si>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</si>
  <si>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</si>
  <si>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</si>
  <si>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</si>
  <si>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</si>
  <si>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</si>
  <si>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</si>
  <si>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</si>
  <si>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</si>
  <si>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</si>
  <si>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</si>
  <si>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</si>
  <si>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</si>
  <si>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</si>
  <si>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</si>
  <si>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</si>
  <si>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</si>
  <si>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</si>
  <si>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</si>
  <si>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</si>
  <si>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</si>
  <si>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</si>
  <si>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</si>
  <si>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</si>
  <si>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</si>
  <si>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</si>
  <si>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</si>
  <si>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</si>
  <si>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</si>
  <si>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</si>
  <si>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</si>
  <si>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</si>
  <si>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</si>
  <si>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</si>
  <si>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</si>
  <si>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</si>
  <si>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</si>
  <si>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</si>
  <si>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</si>
  <si>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</si>
  <si>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</si>
  <si>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</si>
  <si>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</si>
  <si>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</si>
  <si>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</si>
  <si>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</si>
  <si>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</si>
  <si>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</si>
  <si>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</si>
  <si>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</si>
  <si>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</si>
  <si>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</si>
  <si>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</si>
  <si>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</si>
  <si>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</si>
  <si>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</si>
  <si>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</si>
  <si>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</si>
  <si>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</si>
  <si>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</si>
  <si>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</si>
  <si>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</si>
  <si>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</si>
  <si>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</si>
  <si>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</si>
  <si>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</si>
  <si>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</si>
  <si>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</si>
  <si>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</si>
  <si>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</si>
  <si>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</si>
  <si>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</si>
  <si>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</si>
  <si>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</si>
  <si>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</si>
  <si>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</si>
  <si>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</si>
  <si>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</si>
  <si>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</si>
  <si>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</si>
  <si>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</si>
  <si>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</si>
  <si>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</si>
  <si>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</si>
  <si>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</si>
  <si>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</si>
  <si>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</si>
  <si>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</si>
  <si>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</si>
  <si>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</si>
  <si>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</si>
  <si>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</si>
  <si>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</si>
  <si>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</si>
  <si>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</si>
  <si>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</si>
  <si>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</si>
  <si>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</si>
  <si>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</si>
  <si>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</si>
  <si>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</si>
  <si>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</si>
  <si>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</si>
  <si>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</si>
  <si>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</si>
  <si>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</si>
  <si>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</si>
  <si>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</si>
  <si>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</si>
  <si>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</si>
  <si>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</si>
  <si>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</si>
  <si>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</si>
  <si>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</si>
  <si>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</si>
  <si>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</si>
  <si>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</si>
  <si>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</si>
  <si>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</si>
  <si>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</si>
  <si>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</si>
  <si>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</si>
  <si>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</si>
  <si>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</si>
  <si>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</si>
  <si>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</si>
  <si>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</si>
  <si>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</si>
  <si>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</si>
  <si>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</si>
  <si>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</si>
  <si>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</si>
  <si>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</si>
  <si>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</si>
  <si>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</si>
  <si>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</si>
  <si>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</si>
  <si>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</si>
  <si>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</si>
  <si>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</si>
  <si>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</si>
  <si>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</si>
  <si>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</si>
  <si>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</si>
  <si>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</si>
  <si>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</si>
  <si>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</si>
  <si>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</si>
  <si>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</si>
  <si>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</si>
  <si>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</si>
  <si>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</si>
  <si>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</si>
  <si>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</si>
  <si>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</si>
  <si>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</si>
  <si>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</si>
  <si>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</si>
  <si>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</si>
  <si>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</si>
  <si>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</si>
  <si>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</si>
  <si>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</si>
  <si>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</si>
  <si>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</si>
  <si>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</si>
  <si>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</si>
  <si>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</si>
  <si>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</si>
  <si>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</si>
  <si>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</si>
  <si>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</si>
  <si>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</si>
  <si>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</si>
  <si>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</si>
  <si>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</si>
  <si>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</si>
  <si>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</si>
  <si>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</si>
  <si>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</si>
  <si>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</si>
  <si>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</si>
  <si>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</si>
  <si>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</si>
  <si>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</si>
  <si>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</si>
  <si>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</si>
  <si>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</si>
  <si>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</si>
  <si>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</si>
  <si>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</si>
  <si>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</si>
  <si>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</si>
  <si>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</si>
  <si>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</si>
  <si>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</si>
  <si>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</si>
  <si>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</si>
  <si>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</si>
  <si>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</si>
  <si>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</si>
  <si>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</si>
  <si>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</si>
  <si>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</si>
  <si>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</si>
  <si>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</si>
  <si>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</si>
  <si>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</si>
  <si>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</si>
  <si>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</si>
  <si>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</si>
  <si>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</si>
  <si>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</si>
  <si>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</si>
  <si>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</si>
  <si>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</si>
  <si>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</si>
  <si>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</si>
  <si>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</si>
  <si>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</si>
  <si>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</si>
  <si>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</si>
  <si>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</si>
  <si>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</si>
  <si>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</si>
  <si>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</si>
  <si>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</si>
  <si>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</si>
  <si>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</si>
  <si>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</si>
  <si>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</si>
  <si>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</si>
  <si>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</si>
  <si>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</si>
  <si>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</si>
  <si>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</si>
  <si>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</si>
  <si>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</si>
  <si>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</si>
  <si>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</si>
  <si>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</si>
  <si>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</si>
  <si>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</si>
  <si>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</si>
  <si>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</si>
  <si>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</si>
  <si>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</si>
  <si>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</si>
  <si>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</si>
  <si>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</si>
  <si>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</si>
  <si>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</si>
  <si>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</si>
  <si>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</si>
  <si>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</si>
  <si>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</si>
  <si>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</si>
  <si>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</si>
  <si>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</si>
  <si>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</si>
  <si>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</si>
  <si>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</si>
  <si>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</si>
  <si>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</si>
  <si>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</si>
  <si>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</si>
  <si>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</si>
  <si>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</si>
  <si>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</si>
  <si>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</si>
  <si>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</si>
  <si>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</si>
  <si>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</si>
  <si>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</si>
  <si>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</si>
  <si>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</si>
  <si>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</si>
  <si>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</si>
  <si>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</si>
  <si>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</si>
  <si>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</si>
  <si>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</si>
  <si>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</si>
  <si>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</si>
  <si>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</si>
  <si>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</si>
  <si>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</si>
  <si>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</si>
  <si>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</si>
  <si>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</si>
  <si>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</si>
  <si>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</si>
  <si>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</si>
  <si>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</si>
  <si>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</si>
  <si>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</si>
  <si>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</si>
  <si>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</si>
  <si>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</si>
  <si>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</si>
  <si>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</si>
  <si>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</si>
  <si>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</si>
  <si>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</si>
  <si>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</si>
  <si>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</si>
  <si>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</si>
  <si>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</si>
  <si>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</si>
  <si>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</si>
  <si>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</si>
  <si>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</si>
  <si>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</si>
  <si>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</si>
  <si>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</si>
  <si>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</si>
  <si>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</si>
  <si>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</si>
  <si>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</si>
  <si>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</si>
  <si>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</si>
  <si>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</si>
  <si>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</si>
  <si>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</si>
  <si>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</si>
  <si>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</si>
  <si>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</si>
  <si>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</si>
  <si>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</si>
  <si>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</si>
  <si>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</si>
  <si>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</si>
  <si>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</si>
  <si>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</si>
  <si>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</si>
  <si>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</si>
  <si>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</si>
  <si>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</si>
  <si>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</si>
  <si>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</si>
  <si>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</si>
  <si>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</si>
  <si>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</si>
  <si>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</si>
  <si>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</si>
  <si>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</si>
  <si>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</si>
  <si>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</si>
  <si>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</si>
  <si>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</si>
  <si>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</si>
  <si>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</si>
  <si>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</si>
  <si>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</si>
  <si>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</si>
  <si>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</si>
  <si>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</si>
  <si>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</si>
  <si>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</si>
  <si>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</si>
  <si>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</si>
  <si>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</si>
  <si>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</si>
  <si>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</si>
  <si>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</si>
  <si>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</si>
  <si>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</si>
  <si>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</si>
  <si>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</si>
  <si>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</si>
  <si>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</si>
  <si>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</si>
  <si>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</si>
  <si>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</si>
  <si>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</si>
  <si>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</si>
  <si>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</si>
  <si>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</si>
  <si>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</si>
  <si>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</si>
  <si>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</si>
  <si>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</si>
  <si>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</si>
  <si>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</si>
  <si>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</si>
  <si>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</si>
  <si>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</si>
  <si>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</si>
  <si>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</si>
  <si>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</si>
  <si>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</si>
  <si>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</si>
  <si>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</si>
  <si>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</si>
  <si>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</si>
  <si>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</si>
  <si>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</si>
  <si>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</si>
  <si>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</si>
  <si>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</si>
  <si>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</si>
  <si>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</si>
  <si>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</si>
  <si>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</si>
  <si>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</si>
  <si>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</si>
  <si>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</si>
  <si>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</si>
  <si>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</si>
  <si>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</si>
  <si>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</si>
  <si>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</si>
  <si>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</si>
  <si>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</si>
  <si>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</si>
  <si>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</si>
  <si>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</si>
  <si>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</si>
  <si>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</si>
  <si>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</si>
  <si>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</si>
  <si>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</si>
  <si>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</si>
  <si>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</si>
  <si>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</si>
  <si>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</si>
  <si>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</si>
  <si>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</si>
  <si>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</si>
  <si>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</si>
  <si>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</si>
  <si>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</si>
  <si>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</si>
  <si>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</si>
  <si>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</si>
  <si>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</si>
  <si>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</si>
  <si>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</si>
  <si>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</si>
  <si>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</si>
  <si>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</si>
  <si>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</si>
  <si>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</si>
  <si>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</si>
  <si>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</si>
  <si>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</si>
  <si>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</si>
  <si>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</si>
  <si>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</si>
  <si>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</si>
  <si>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</si>
  <si>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</si>
  <si>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</si>
  <si>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</si>
  <si>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</si>
  <si>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</si>
  <si>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</si>
  <si>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</si>
  <si>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</si>
  <si>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</si>
  <si>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</si>
  <si>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</si>
  <si>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</si>
  <si>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</si>
  <si>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</si>
  <si>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</si>
  <si>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</si>
  <si>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</si>
  <si>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</si>
  <si>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</si>
  <si>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</si>
  <si>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</si>
  <si>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</si>
  <si>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</si>
  <si>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</si>
  <si>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</si>
  <si>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</si>
  <si>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</si>
  <si>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</si>
  <si>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</si>
  <si>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</si>
  <si>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</si>
  <si>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</si>
  <si>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</si>
  <si>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</si>
  <si>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</si>
  <si>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</si>
  <si>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</si>
  <si>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</si>
  <si>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</si>
  <si>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</si>
  <si>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</si>
  <si>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</si>
  <si>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</si>
  <si>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</si>
  <si>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</si>
  <si>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</si>
  <si>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</si>
  <si>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</si>
  <si>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</si>
  <si>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</si>
  <si>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</si>
  <si>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</si>
  <si>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</si>
  <si>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</si>
  <si>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</si>
  <si>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</si>
  <si>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</si>
  <si>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</si>
  <si>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</si>
  <si>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</si>
  <si>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</si>
  <si>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</si>
  <si>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</si>
  <si>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</si>
  <si>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</si>
  <si>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</si>
  <si>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</si>
  <si>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</si>
  <si>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</si>
  <si>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</si>
  <si>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</si>
  <si>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</si>
  <si>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</si>
  <si>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</si>
  <si>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</si>
  <si>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</si>
  <si>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</si>
  <si>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</si>
  <si>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</si>
  <si>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</si>
  <si>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</si>
  <si>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</si>
  <si>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</si>
  <si>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</si>
  <si>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</si>
  <si>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</si>
  <si>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</si>
  <si>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</si>
  <si>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</si>
  <si>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</si>
  <si>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</si>
  <si>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</si>
  <si>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</si>
  <si>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</si>
  <si>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</si>
  <si>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</si>
  <si>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</si>
  <si>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</si>
  <si>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</si>
  <si>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</si>
  <si>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</si>
  <si>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</si>
  <si>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</si>
  <si>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</si>
  <si>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</si>
  <si>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</si>
  <si>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</si>
  <si>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</si>
  <si>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</si>
  <si>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</si>
  <si>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</si>
  <si>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</si>
  <si>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</si>
  <si>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</si>
  <si>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</si>
  <si>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</si>
  <si>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</si>
  <si>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</si>
  <si>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</si>
  <si>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</si>
  <si>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</si>
  <si>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</si>
  <si>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</si>
  <si>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</si>
  <si>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</si>
  <si>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</si>
  <si>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</si>
  <si>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</si>
  <si>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</si>
  <si>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</si>
  <si>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</si>
  <si>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</si>
  <si>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</si>
  <si>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</si>
  <si>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</si>
  <si>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</si>
  <si>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</si>
  <si>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</si>
  <si>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</si>
  <si>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</si>
  <si>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</si>
  <si>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</si>
  <si>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</si>
  <si>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</si>
  <si>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</si>
  <si>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</si>
  <si>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</si>
  <si>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</si>
  <si>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</si>
  <si>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</si>
  <si>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</si>
  <si>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</si>
  <si>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</si>
  <si>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</si>
  <si>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</si>
  <si>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</si>
  <si>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</si>
  <si>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</si>
  <si>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</si>
  <si>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</si>
  <si>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</si>
  <si>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</si>
  <si>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</si>
  <si>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</si>
  <si>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</si>
  <si>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</si>
  <si>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</si>
  <si>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</si>
  <si>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</si>
  <si>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</si>
  <si>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</si>
  <si>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</si>
  <si>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</si>
  <si>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</si>
  <si>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</si>
  <si>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</si>
  <si>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</si>
  <si>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</si>
  <si>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</si>
  <si>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</si>
  <si>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</si>
  <si>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</si>
  <si>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</si>
  <si>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</si>
  <si>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</si>
  <si>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</si>
  <si>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</si>
  <si>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</si>
  <si>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</si>
  <si>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</si>
  <si>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</si>
  <si>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</si>
  <si>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</si>
  <si>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</si>
  <si>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</si>
  <si>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</si>
  <si>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</si>
  <si>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</si>
  <si>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</si>
  <si>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</si>
  <si>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</si>
  <si>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</si>
  <si>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</si>
  <si>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</si>
  <si>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</si>
  <si>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</si>
  <si>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</si>
  <si>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</si>
  <si>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</si>
  <si>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</si>
  <si>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</si>
  <si>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</si>
  <si>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</si>
  <si>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</si>
  <si>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</si>
  <si>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</si>
  <si>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</si>
  <si>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</si>
  <si>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</si>
  <si>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</si>
  <si>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</si>
  <si>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</si>
  <si>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</si>
  <si>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</si>
  <si>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</si>
  <si>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</si>
  <si>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</si>
  <si>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</si>
  <si>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</si>
  <si>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</si>
  <si>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</si>
  <si>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</si>
  <si>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</si>
  <si>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</si>
  <si>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</si>
  <si>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</si>
  <si>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</si>
  <si>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</si>
  <si>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</si>
  <si>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</si>
  <si>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</si>
  <si>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</si>
  <si>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</si>
  <si>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</si>
  <si>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</si>
  <si>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</si>
  <si>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</si>
  <si>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</si>
  <si>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</si>
  <si>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</si>
  <si>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</si>
  <si>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</si>
  <si>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</si>
  <si>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</si>
  <si>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</si>
  <si>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</si>
  <si>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</si>
  <si>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</si>
  <si>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</si>
  <si>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</si>
  <si>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</si>
  <si>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</si>
  <si>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</si>
  <si>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</si>
  <si>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</si>
  <si>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</si>
  <si>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</si>
  <si>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</si>
  <si>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</si>
  <si>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</si>
  <si>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</si>
  <si>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</si>
  <si>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</si>
  <si>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</si>
  <si>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</si>
  <si>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</si>
  <si>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</si>
  <si>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</si>
  <si>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</si>
  <si>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</si>
  <si>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</si>
  <si>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</si>
  <si>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</si>
  <si>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</si>
  <si>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</si>
  <si>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</si>
  <si>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</si>
  <si>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</si>
  <si>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</si>
  <si>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</si>
  <si>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</si>
  <si>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</si>
  <si>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</si>
  <si>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</si>
  <si>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</si>
  <si>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</si>
  <si>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</si>
  <si>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</si>
  <si>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</si>
  <si>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</si>
  <si>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</si>
  <si>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</si>
  <si>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</si>
  <si>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</si>
  <si>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</si>
  <si>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</si>
  <si>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</si>
  <si>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</si>
  <si>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</si>
  <si>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</si>
  <si>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</si>
  <si>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</si>
  <si>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</si>
  <si>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</si>
  <si>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</si>
  <si>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</si>
  <si>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</si>
  <si>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</si>
  <si>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</si>
  <si>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</si>
  <si>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</si>
  <si>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</si>
  <si>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</si>
  <si>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</si>
  <si>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</si>
  <si>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</si>
  <si>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</si>
  <si>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</si>
  <si>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</si>
  <si>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</si>
  <si>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</si>
  <si>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</si>
  <si>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</si>
  <si>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</si>
  <si>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</si>
  <si>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</si>
  <si>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</si>
  <si>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</si>
  <si>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</si>
  <si>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</si>
  <si>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</si>
  <si>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</si>
  <si>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</si>
  <si>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</si>
  <si>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</si>
  <si>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</si>
  <si>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</si>
  <si>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</si>
  <si>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</si>
  <si>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</si>
  <si>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</si>
  <si>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</si>
  <si>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</si>
  <si>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</si>
  <si>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</si>
  <si>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</si>
  <si>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</si>
  <si>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</si>
  <si>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</si>
  <si>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</si>
  <si>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</si>
  <si>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</si>
  <si>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</si>
  <si>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</si>
  <si>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</si>
  <si>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</si>
  <si>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</si>
  <si>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</si>
  <si>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</si>
  <si>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</si>
  <si>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</si>
  <si>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</si>
  <si>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</si>
  <si>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</si>
  <si>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</si>
  <si>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</si>
  <si>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</si>
  <si>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</si>
  <si>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</si>
  <si>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</si>
  <si>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</si>
  <si>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</si>
  <si>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</si>
  <si>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</si>
  <si>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</si>
  <si>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</si>
  <si>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</si>
  <si>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</si>
  <si>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</si>
  <si>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</si>
  <si>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</si>
  <si>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</si>
  <si>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</si>
  <si>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</si>
  <si>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</si>
  <si>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</si>
  <si>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</si>
  <si>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</si>
  <si>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</si>
  <si>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</si>
  <si>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</si>
  <si>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</si>
  <si>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</si>
  <si>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</si>
  <si>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</si>
  <si>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</si>
  <si>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</si>
  <si>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</si>
  <si>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</si>
  <si>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</si>
  <si>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</si>
  <si>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</si>
  <si>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</si>
  <si>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</si>
  <si>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</si>
  <si>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</si>
  <si>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</si>
  <si>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</si>
  <si>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</si>
  <si>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</si>
  <si>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</si>
  <si>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</si>
  <si>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</si>
  <si>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</si>
  <si>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</si>
  <si>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</si>
  <si>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</si>
  <si>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</si>
  <si>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</si>
  <si>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</si>
  <si>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</si>
  <si>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</si>
  <si>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</si>
  <si>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</si>
  <si>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</si>
  <si>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</si>
  <si>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</si>
  <si>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</si>
  <si>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</si>
  <si>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</si>
  <si>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</si>
  <si>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</si>
  <si>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</si>
  <si>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</si>
  <si>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</si>
  <si>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</si>
  <si>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</si>
  <si>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</si>
  <si>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</si>
  <si>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</si>
  <si>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</si>
  <si>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</si>
  <si>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</si>
  <si>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</si>
  <si>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</si>
  <si>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</si>
  <si>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</si>
  <si>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</si>
  <si>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</si>
  <si>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</si>
  <si>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</si>
  <si>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</si>
  <si>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</si>
  <si>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</si>
  <si>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</si>
  <si>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</si>
  <si>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</si>
  <si>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</si>
  <si>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</si>
  <si>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</si>
  <si>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</si>
  <si>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</si>
  <si>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</si>
  <si>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</si>
  <si>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</si>
  <si>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</si>
  <si>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</si>
  <si>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</si>
  <si>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</si>
  <si>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</si>
  <si>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</si>
  <si>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</si>
  <si>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</si>
  <si>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</si>
  <si>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</si>
  <si>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</si>
  <si>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</si>
  <si>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</si>
  <si>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</si>
  <si>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</si>
  <si>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</si>
  <si>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</si>
  <si>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</si>
  <si>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</si>
  <si>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</si>
  <si>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</si>
  <si>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</si>
  <si>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</si>
  <si>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</si>
  <si>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</si>
  <si>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</si>
  <si>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</si>
  <si>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</si>
  <si>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</si>
  <si>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</si>
  <si>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</si>
  <si>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</si>
  <si>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</si>
  <si>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</si>
  <si>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</si>
  <si>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</si>
  <si>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</si>
  <si>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</si>
  <si>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</si>
  <si>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</si>
  <si>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</si>
  <si>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</si>
  <si>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</si>
  <si>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</si>
  <si>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</si>
  <si>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</si>
  <si>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</si>
  <si>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</si>
  <si>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</si>
  <si>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</si>
  <si>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</si>
  <si>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</si>
  <si>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</si>
  <si>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</si>
  <si>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</si>
  <si>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</si>
  <si>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</si>
  <si>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</si>
  <si>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</si>
  <si>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</si>
  <si>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</si>
  <si>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</si>
  <si>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</si>
  <si>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</si>
  <si>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</si>
  <si>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</si>
  <si>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</si>
  <si>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</si>
  <si>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</si>
  <si>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</si>
  <si>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</si>
  <si>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</si>
  <si>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</si>
  <si>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</si>
  <si>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</si>
  <si>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</si>
  <si>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</si>
  <si>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</si>
  <si>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</si>
  <si>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</si>
  <si>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</si>
  <si>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</si>
  <si>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</si>
  <si>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</si>
  <si>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</si>
  <si>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</si>
  <si>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</si>
  <si>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</si>
  <si>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</si>
  <si>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</si>
  <si>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</si>
  <si>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</si>
  <si>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</si>
  <si>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</si>
  <si>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</si>
  <si>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</si>
  <si>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</si>
  <si>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</si>
  <si>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</si>
  <si>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</si>
  <si>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</si>
  <si>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</si>
  <si>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</si>
  <si>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</si>
  <si>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</si>
  <si>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</si>
  <si>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</si>
  <si>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</si>
  <si>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</si>
  <si>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</si>
  <si>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</si>
  <si>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</si>
  <si>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</si>
  <si>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</si>
  <si>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</si>
  <si>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</si>
  <si>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</si>
  <si>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</si>
  <si>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</si>
  <si>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</si>
  <si>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</si>
  <si>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</si>
  <si>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</si>
  <si>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</si>
  <si>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</si>
  <si>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</si>
  <si>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</si>
  <si>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</si>
  <si>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</si>
  <si>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</si>
  <si>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</si>
  <si>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</si>
  <si>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</si>
  <si>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</si>
  <si>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</si>
  <si>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</si>
  <si>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</si>
  <si>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</si>
  <si>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</si>
  <si>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</si>
  <si>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</si>
  <si>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</si>
  <si>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</si>
  <si>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</si>
  <si>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</si>
  <si>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</si>
  <si>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</si>
  <si>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</si>
  <si>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</si>
  <si>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</si>
  <si>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</si>
  <si>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</si>
  <si>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</si>
  <si>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</si>
  <si>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</si>
  <si>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</si>
  <si>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</si>
  <si>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</si>
  <si>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</si>
  <si>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</si>
  <si>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</si>
  <si>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</si>
  <si>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</si>
  <si>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</si>
  <si>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</si>
  <si>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</si>
  <si>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</si>
  <si>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</si>
  <si>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</si>
  <si>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</si>
  <si>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</si>
  <si>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</si>
  <si>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</si>
  <si>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</si>
  <si>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</si>
  <si>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</si>
  <si>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</si>
  <si>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</si>
  <si>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</si>
  <si>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</si>
  <si>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</si>
  <si>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</si>
  <si>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</si>
  <si>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</si>
  <si>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</si>
  <si>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</si>
  <si>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</si>
  <si>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</si>
  <si>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</si>
  <si>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</si>
  <si>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</si>
  <si>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</si>
  <si>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</si>
  <si>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</si>
  <si>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</si>
  <si>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</si>
  <si>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</si>
  <si>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</si>
  <si>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</si>
  <si>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</si>
  <si>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</si>
  <si>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</si>
  <si>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</si>
  <si>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</si>
  <si>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</si>
  <si>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</si>
  <si>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</si>
  <si>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</si>
  <si>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</si>
  <si>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</si>
  <si>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</si>
  <si>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</si>
  <si>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</si>
  <si>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</si>
  <si>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</si>
  <si>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</si>
  <si>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</si>
  <si>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</si>
  <si>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</si>
  <si>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</si>
  <si>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</si>
  <si>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</si>
  <si>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</si>
  <si>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</si>
  <si>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</si>
  <si>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</si>
  <si>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</si>
  <si>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</si>
  <si>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</si>
  <si>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</si>
  <si>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</si>
  <si>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</si>
  <si>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</si>
  <si>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</si>
  <si>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</si>
  <si>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</si>
  <si>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</si>
  <si>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</si>
  <si>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</si>
  <si>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</si>
  <si>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</si>
  <si>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</si>
  <si>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</si>
  <si>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</si>
  <si>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</si>
  <si>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</si>
  <si>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</si>
  <si>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</si>
  <si>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</si>
  <si>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</si>
  <si>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</si>
  <si>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</si>
  <si>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</si>
  <si>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</si>
  <si>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</si>
  <si>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</si>
  <si>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</si>
  <si>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</si>
  <si>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</si>
  <si>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</si>
  <si>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</si>
  <si>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</si>
  <si>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</si>
  <si>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</si>
  <si>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</si>
  <si>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</si>
  <si>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</si>
  <si>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</si>
  <si>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</si>
  <si>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</si>
  <si>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</si>
  <si>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</si>
  <si>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</si>
  <si>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</si>
  <si>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</si>
  <si>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</si>
  <si>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</si>
  <si>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</si>
  <si>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</si>
  <si>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</si>
  <si>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</si>
  <si>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</si>
  <si>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</si>
  <si>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</si>
  <si>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</si>
  <si>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</si>
  <si>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</si>
  <si>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</si>
  <si>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</si>
  <si>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</si>
  <si>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</si>
  <si>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</si>
  <si>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</si>
  <si>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</si>
  <si>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</si>
  <si>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</si>
  <si>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</si>
  <si>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</si>
  <si>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</si>
  <si>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</si>
  <si>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</si>
  <si>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</si>
  <si>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</si>
  <si>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</si>
  <si>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</si>
  <si>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</si>
  <si>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</si>
  <si>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</si>
  <si>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</si>
  <si>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</si>
  <si>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</si>
  <si>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</si>
  <si>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</si>
  <si>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</si>
  <si>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</si>
  <si>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</si>
  <si>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</si>
  <si>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</si>
  <si>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</si>
  <si>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</si>
  <si>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</si>
  <si>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</si>
  <si>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</si>
  <si>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</si>
  <si>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</si>
  <si>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</si>
  <si>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</si>
  <si>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</si>
  <si>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</si>
  <si>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</si>
  <si>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</si>
  <si>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</si>
  <si>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</si>
  <si>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</si>
  <si>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</si>
  <si>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</si>
  <si>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</si>
  <si>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</si>
  <si>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</si>
  <si>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</si>
  <si>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</si>
  <si>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</si>
  <si>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</si>
  <si>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</si>
  <si>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</si>
  <si>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</si>
  <si>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</si>
  <si>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</si>
  <si>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</si>
  <si>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</si>
  <si>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</si>
  <si>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</si>
  <si>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</si>
  <si>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</si>
  <si>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</si>
  <si>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</si>
  <si>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</si>
  <si>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</si>
  <si>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</si>
  <si>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</si>
  <si>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</si>
  <si>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</si>
  <si>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</si>
  <si>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</si>
  <si>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</si>
  <si>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</si>
  <si>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</si>
  <si>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</si>
  <si>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</si>
  <si>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</si>
  <si>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</si>
  <si>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</si>
  <si>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</si>
  <si>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</si>
  <si>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</si>
  <si>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</si>
  <si>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</si>
  <si>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</si>
  <si>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</si>
  <si>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</si>
  <si>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</si>
  <si>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</si>
  <si>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</si>
  <si>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</si>
  <si>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</si>
  <si>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</si>
  <si>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</si>
  <si>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</si>
  <si>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</si>
  <si>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</si>
  <si>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</si>
  <si>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</si>
  <si>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</si>
  <si>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</si>
  <si>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</si>
  <si>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</si>
  <si>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</si>
  <si>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</si>
  <si>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</si>
  <si>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</si>
  <si>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</si>
  <si>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</si>
  <si>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</si>
  <si>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</si>
  <si>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</si>
  <si>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</si>
  <si>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</si>
  <si>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</si>
  <si>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</si>
  <si>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</si>
  <si>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</si>
  <si>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</si>
  <si>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</si>
  <si>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</si>
  <si>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</si>
  <si>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</si>
  <si>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</si>
  <si>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</si>
  <si>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</si>
  <si>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</si>
  <si>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</si>
  <si>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</si>
  <si>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</si>
  <si>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</si>
  <si>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</si>
  <si>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</si>
  <si>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</si>
  <si>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</si>
  <si>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</si>
  <si>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</si>
  <si>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</si>
  <si>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</si>
  <si>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</si>
  <si>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</si>
  <si>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</si>
  <si>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</si>
  <si>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</si>
  <si>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</si>
  <si>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</si>
  <si>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</si>
  <si>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</si>
  <si>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</si>
  <si>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</si>
  <si>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</si>
  <si>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</si>
  <si>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</si>
  <si>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</si>
  <si>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</si>
  <si>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</si>
  <si>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</si>
  <si>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</si>
  <si>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</si>
  <si>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</si>
  <si>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</si>
  <si>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</si>
  <si>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</si>
  <si>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</si>
  <si>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</si>
  <si>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</si>
  <si>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</si>
  <si>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</si>
  <si>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</si>
  <si>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</si>
  <si>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</si>
  <si>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</si>
  <si>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</si>
  <si>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</si>
  <si>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</si>
  <si>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</si>
  <si>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</si>
  <si>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</si>
  <si>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</si>
  <si>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</si>
  <si>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</si>
  <si>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</si>
  <si>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</si>
  <si>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</si>
  <si>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</si>
  <si>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</si>
  <si>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</si>
  <si>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</si>
  <si>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</si>
  <si>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</si>
  <si>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</si>
  <si>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</si>
  <si>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</si>
  <si>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</si>
  <si>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</si>
  <si>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</si>
  <si>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</si>
  <si>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</si>
  <si>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</si>
  <si>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</si>
  <si>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</si>
  <si>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</si>
  <si>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</si>
  <si>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</si>
  <si>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</si>
  <si>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</si>
  <si>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</si>
  <si>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</si>
  <si>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</si>
  <si>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</si>
  <si>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</si>
  <si>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</si>
  <si>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</si>
  <si>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</si>
  <si>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</si>
  <si>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</si>
  <si>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</si>
  <si>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</si>
  <si>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</si>
  <si>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</si>
  <si>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</si>
  <si>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</si>
  <si>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</si>
  <si>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</si>
  <si>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</si>
  <si>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</si>
  <si>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</si>
  <si>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</si>
  <si>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</si>
  <si>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</si>
  <si>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</si>
  <si>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</si>
  <si>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</si>
  <si>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</si>
  <si>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</si>
  <si>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</si>
  <si>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</si>
  <si>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</si>
  <si>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</si>
  <si>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</si>
  <si>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</si>
  <si>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</si>
  <si>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</si>
  <si>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</si>
  <si>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</si>
  <si>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</si>
  <si>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</si>
  <si>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</si>
  <si>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</si>
  <si>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</si>
  <si>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</si>
  <si>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</si>
  <si>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</si>
  <si>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</si>
  <si>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</si>
  <si>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</si>
  <si>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</si>
  <si>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</si>
  <si>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</si>
  <si>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</si>
  <si>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</si>
  <si>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</si>
  <si>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</si>
  <si>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</si>
  <si>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</si>
  <si>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</si>
  <si>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</si>
  <si>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</si>
  <si>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</si>
  <si>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</si>
  <si>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</si>
  <si>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</si>
  <si>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</si>
  <si>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</si>
  <si>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</si>
  <si>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</si>
  <si>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</si>
  <si>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</si>
  <si>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</si>
  <si>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</si>
  <si>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</si>
  <si>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</si>
  <si>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</si>
  <si>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</si>
  <si>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</si>
  <si>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</si>
  <si>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</si>
  <si>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</si>
  <si>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</si>
  <si>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</si>
  <si>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</si>
  <si>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</si>
  <si>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</si>
  <si>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</si>
  <si>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</si>
  <si>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</si>
  <si>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</si>
  <si>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</si>
  <si>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</si>
  <si>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</si>
  <si>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</si>
  <si>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</si>
  <si>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</si>
  <si>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</si>
  <si>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</si>
  <si>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</si>
  <si>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</si>
  <si>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</si>
  <si>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</si>
  <si>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</si>
  <si>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</si>
  <si>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</si>
  <si>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</si>
  <si>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</si>
  <si>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</si>
  <si>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</si>
  <si>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</si>
  <si>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</si>
  <si>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</si>
  <si>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</si>
  <si>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</si>
  <si>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</si>
  <si>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</si>
  <si>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</si>
  <si>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</si>
  <si>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</si>
  <si>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</si>
  <si>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</si>
  <si>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</si>
  <si>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</si>
  <si>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</si>
  <si>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</si>
  <si>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</si>
  <si>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</si>
  <si>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</si>
  <si>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</si>
  <si>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</si>
  <si>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</si>
  <si>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</si>
  <si>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</si>
  <si>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</si>
  <si>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</si>
  <si>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</si>
  <si>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</si>
  <si>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</si>
  <si>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</si>
  <si>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</si>
  <si>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</si>
  <si>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</si>
  <si>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</si>
  <si>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</si>
  <si>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</si>
  <si>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</si>
  <si>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</si>
  <si>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</si>
  <si>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</si>
  <si>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</si>
  <si>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</si>
  <si>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</si>
  <si>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</si>
  <si>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</si>
  <si>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</si>
  <si>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</si>
  <si>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</si>
  <si>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</si>
  <si>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</si>
  <si>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</si>
  <si>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</si>
  <si>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</si>
  <si>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</si>
  <si>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</si>
  <si>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</si>
  <si>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</si>
  <si>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</si>
  <si>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</si>
  <si>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</si>
  <si>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</si>
  <si>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</si>
  <si>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</si>
  <si>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</si>
  <si>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</si>
  <si>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</si>
  <si>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</si>
  <si>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</si>
  <si>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</si>
  <si>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</si>
  <si>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</si>
  <si>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</si>
  <si>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</si>
  <si>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</si>
  <si>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</si>
  <si>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</si>
  <si>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</si>
  <si>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</si>
  <si>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</si>
  <si>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</si>
  <si>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</si>
  <si>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</si>
  <si>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</si>
  <si>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</si>
  <si>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</si>
  <si>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</si>
  <si>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</si>
  <si>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</si>
  <si>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</si>
  <si>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</si>
  <si>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</si>
  <si>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</si>
  <si>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</si>
  <si>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</si>
  <si>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</si>
  <si>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</si>
  <si>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</si>
  <si>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</si>
  <si>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</si>
  <si>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</si>
  <si>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</si>
  <si>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</si>
  <si>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</si>
  <si>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</si>
  <si>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</si>
  <si>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</si>
  <si>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</si>
  <si>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</si>
  <si>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</si>
  <si>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</si>
  <si>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</si>
  <si>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</si>
  <si>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</si>
  <si>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</si>
  <si>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</si>
  <si>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</si>
  <si>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</si>
  <si>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</si>
  <si>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</si>
  <si>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</si>
  <si>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</si>
  <si>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</si>
  <si>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</si>
  <si>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</si>
  <si>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</si>
  <si>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</si>
  <si>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</si>
  <si>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</si>
  <si>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</si>
  <si>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</si>
  <si>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</si>
  <si>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</si>
  <si>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</si>
  <si>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</si>
  <si>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</si>
  <si>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</si>
  <si>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</si>
  <si>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</si>
  <si>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</si>
  <si>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</si>
  <si>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</si>
  <si>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</si>
  <si>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</si>
  <si>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</si>
  <si>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</si>
  <si>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</si>
  <si>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</si>
  <si>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</si>
  <si>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</si>
  <si>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</si>
  <si>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</si>
  <si>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</si>
  <si>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</si>
  <si>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</si>
  <si>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</si>
  <si>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</si>
  <si>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</si>
  <si>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</si>
  <si>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</si>
  <si>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</si>
  <si>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</si>
  <si>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</si>
  <si>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</si>
  <si>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</si>
  <si>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</si>
  <si>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</si>
  <si>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</si>
  <si>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</si>
  <si>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</si>
  <si>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</si>
  <si>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</si>
  <si>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</si>
  <si>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</si>
  <si>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</si>
  <si>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</si>
  <si>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</si>
  <si>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</si>
  <si>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</si>
  <si>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</si>
  <si>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</si>
  <si>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</si>
  <si>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</si>
  <si>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</si>
  <si>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</si>
  <si>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</si>
  <si>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</si>
  <si>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</si>
  <si>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</si>
  <si>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</si>
  <si>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</si>
  <si>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</si>
  <si>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</si>
  <si>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</si>
  <si>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</si>
  <si>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</si>
  <si>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</si>
  <si>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</si>
  <si>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</si>
  <si>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</si>
  <si>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</si>
  <si>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</si>
  <si>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</si>
  <si>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</si>
  <si>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</si>
  <si>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</si>
  <si>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</si>
  <si>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</si>
  <si>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</si>
  <si>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</si>
  <si>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</si>
  <si>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</si>
  <si>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</si>
  <si>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</si>
  <si>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</si>
  <si>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</si>
  <si>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</si>
  <si>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</si>
  <si>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</si>
  <si>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</si>
  <si>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</si>
  <si>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</si>
  <si>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</si>
  <si>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</si>
  <si>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</si>
  <si>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</si>
  <si>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</si>
  <si>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</si>
  <si>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</si>
  <si>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</si>
  <si>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</si>
  <si>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</si>
  <si>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</si>
  <si>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</si>
  <si>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</si>
  <si>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</si>
  <si>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</si>
  <si>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</si>
  <si>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</si>
  <si>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</si>
  <si>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</si>
  <si>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</si>
  <si>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</si>
  <si>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</si>
  <si>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</si>
  <si>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</si>
  <si>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</si>
  <si>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</si>
  <si>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</si>
  <si>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</si>
  <si>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</si>
  <si>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</si>
  <si>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</si>
  <si>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</si>
  <si>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</si>
  <si>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</si>
  <si>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</si>
  <si>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</si>
  <si>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</si>
  <si>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</si>
  <si>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</si>
  <si>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</si>
  <si>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</si>
  <si>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</si>
  <si>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</si>
  <si>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</si>
  <si>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</si>
  <si>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</si>
  <si>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</si>
  <si>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</si>
  <si>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</si>
  <si>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</si>
  <si>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</si>
  <si>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</si>
  <si>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</si>
  <si>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</si>
  <si>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</si>
  <si>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</si>
  <si>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</si>
  <si>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</si>
  <si>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</si>
  <si>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</si>
  <si>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</si>
  <si>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</si>
  <si>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</si>
  <si>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</si>
  <si>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</si>
  <si>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</si>
  <si>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</si>
  <si>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</si>
  <si>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</si>
  <si>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</si>
  <si>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</si>
  <si>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</si>
  <si>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</si>
  <si>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</si>
  <si>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</si>
  <si>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</si>
  <si>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</si>
  <si>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</si>
  <si>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</si>
  <si>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</si>
  <si>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</si>
  <si>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</si>
  <si>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</si>
  <si>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</si>
  <si>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</si>
  <si>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</si>
  <si>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</si>
  <si>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</si>
  <si>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</si>
  <si>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</si>
  <si>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</si>
  <si>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</si>
  <si>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</si>
  <si>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</si>
  <si>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</si>
  <si>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</si>
  <si>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</si>
  <si>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</si>
  <si>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</si>
  <si>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</si>
  <si>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</si>
  <si>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</si>
  <si>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</si>
  <si>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</si>
  <si>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</si>
  <si>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</si>
  <si>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</si>
  <si>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</si>
  <si>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</si>
  <si>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</si>
  <si>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</si>
  <si>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</si>
  <si>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</si>
  <si>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</si>
  <si>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</si>
  <si>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</si>
  <si>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</si>
  <si>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</si>
  <si>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</si>
  <si>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</si>
  <si>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</si>
  <si>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</si>
  <si>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</si>
  <si>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</si>
  <si>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</si>
  <si>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</si>
  <si>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</si>
  <si>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</si>
  <si>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</si>
  <si>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</si>
  <si>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</si>
  <si>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</si>
  <si>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</si>
  <si>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</si>
  <si>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</si>
  <si>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</si>
  <si>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</si>
  <si>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</si>
  <si>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</si>
  <si>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</si>
  <si>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</si>
  <si>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</si>
  <si>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</si>
  <si>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</si>
  <si>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</si>
  <si>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</si>
  <si>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</si>
  <si>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</si>
  <si>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</si>
  <si>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</si>
  <si>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</si>
  <si>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</si>
  <si>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</si>
  <si>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</si>
  <si>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</si>
  <si>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</si>
  <si>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</si>
  <si>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</si>
  <si>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</si>
  <si>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</si>
  <si>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</si>
  <si>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</si>
  <si>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</si>
  <si>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</si>
  <si>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</si>
  <si>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</si>
  <si>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</si>
  <si>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</si>
  <si>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</si>
  <si>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</si>
  <si>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</si>
  <si>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</si>
  <si>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</si>
  <si>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</si>
  <si>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</si>
  <si>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</si>
  <si>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</si>
  <si>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</si>
  <si>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</si>
  <si>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</si>
  <si>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</si>
  <si>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</si>
  <si>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</si>
  <si>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</si>
  <si>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</si>
  <si>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</si>
  <si>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</si>
  <si>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</si>
  <si>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</si>
  <si>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</si>
  <si>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</si>
  <si>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</si>
  <si>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</si>
  <si>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</si>
  <si>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</si>
  <si>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</si>
  <si>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</si>
  <si>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</si>
  <si>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</si>
  <si>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</si>
  <si>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</si>
  <si>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</si>
  <si>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</si>
  <si>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</si>
  <si>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</si>
  <si>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</si>
  <si>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</si>
  <si>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</si>
  <si>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</si>
  <si>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</si>
  <si>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</si>
  <si>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</si>
  <si>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</si>
  <si>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</si>
  <si>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</si>
  <si>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</si>
  <si>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</si>
  <si>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</si>
  <si>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</si>
  <si>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</si>
  <si>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</si>
  <si>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</si>
  <si>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</si>
  <si>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</si>
  <si>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</si>
  <si>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</si>
  <si>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</si>
  <si>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</si>
  <si>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</si>
  <si>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</si>
  <si>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</si>
  <si>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</si>
  <si>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</si>
  <si>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</si>
  <si>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</si>
  <si>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</si>
  <si>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</si>
  <si>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</si>
  <si>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</si>
  <si>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</si>
  <si>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</si>
  <si>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</si>
  <si>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</si>
  <si>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</si>
  <si>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</si>
  <si>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</si>
  <si>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</si>
  <si>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</si>
  <si>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</si>
  <si>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</si>
  <si>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</si>
  <si>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</si>
  <si>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</si>
  <si>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</si>
  <si>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</si>
  <si>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</si>
  <si>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</si>
  <si>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</si>
  <si>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</si>
  <si>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</si>
  <si>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</si>
  <si>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</si>
  <si>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</si>
  <si>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</si>
  <si>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</si>
  <si>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</si>
  <si>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</si>
  <si>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</si>
  <si>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</si>
  <si>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</si>
  <si>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</si>
  <si>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</si>
  <si>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</si>
  <si>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</si>
  <si>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</si>
  <si>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</si>
  <si>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</si>
  <si>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</si>
  <si>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</si>
  <si>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</si>
  <si>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</si>
  <si>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</si>
  <si>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</si>
  <si>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</si>
  <si>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</si>
  <si>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</si>
  <si>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</si>
  <si>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</si>
  <si>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</si>
  <si>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</si>
  <si>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</si>
  <si>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</si>
  <si>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</si>
  <si>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</si>
  <si>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</si>
  <si>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</si>
  <si>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</si>
  <si>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</si>
  <si>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</si>
  <si>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</si>
  <si>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</si>
  <si>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</si>
  <si>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</si>
  <si>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</si>
  <si>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</si>
  <si>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</si>
  <si>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</si>
  <si>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</si>
  <si>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</si>
  <si>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</si>
  <si>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</si>
  <si>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</si>
  <si>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</si>
  <si>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</si>
  <si>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</si>
  <si>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</si>
  <si>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</si>
  <si>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</si>
  <si>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</si>
  <si>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</si>
  <si>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</si>
  <si>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</si>
  <si>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</si>
  <si>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</si>
  <si>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</si>
  <si>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</si>
  <si>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</si>
  <si>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</si>
  <si>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</si>
  <si>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</si>
  <si>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</si>
  <si>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</si>
  <si>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</si>
  <si>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</si>
  <si>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</si>
  <si>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</si>
  <si>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</si>
  <si>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</si>
  <si>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</si>
  <si>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</si>
  <si>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</si>
  <si>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</si>
  <si>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</si>
  <si>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</si>
  <si>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</si>
  <si>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</si>
  <si>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</si>
  <si>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</si>
  <si>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</si>
  <si>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</si>
  <si>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</si>
  <si>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</si>
  <si>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</si>
  <si>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</si>
  <si>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</si>
  <si>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</si>
  <si>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</si>
  <si>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</si>
  <si>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</si>
  <si>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</si>
  <si>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</si>
  <si>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</si>
  <si>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</si>
  <si>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</si>
  <si>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</si>
  <si>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</si>
  <si>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</si>
  <si>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</si>
  <si>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</si>
  <si>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</si>
  <si>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</si>
  <si>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</si>
  <si>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</si>
  <si>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</si>
  <si>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</si>
  <si>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</si>
  <si>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</si>
  <si>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</si>
  <si>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</si>
  <si>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</si>
  <si>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</si>
  <si>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</si>
  <si>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</si>
  <si>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</si>
  <si>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</si>
  <si>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</si>
  <si>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</si>
  <si>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</si>
  <si>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</si>
  <si>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</si>
  <si>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</si>
  <si>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</si>
  <si>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</si>
  <si>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</si>
  <si>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</si>
  <si>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</si>
  <si>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</si>
  <si>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</si>
  <si>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</si>
  <si>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</si>
  <si>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</si>
  <si>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</si>
  <si>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</si>
  <si>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</si>
  <si>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</si>
  <si>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</si>
  <si>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</si>
  <si>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</si>
  <si>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</si>
  <si>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</si>
  <si>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</si>
  <si>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</si>
  <si>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</si>
  <si>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</si>
  <si>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</si>
  <si>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</si>
  <si>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</si>
  <si>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</si>
  <si>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</si>
  <si>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</si>
  <si>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</si>
  <si>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</si>
  <si>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</si>
  <si>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</si>
  <si>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</si>
  <si>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</si>
  <si>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</si>
  <si>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</si>
  <si>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</si>
  <si>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</si>
  <si>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</si>
  <si>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</si>
  <si>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</si>
  <si>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</si>
  <si>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</si>
  <si>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</si>
  <si>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</si>
  <si>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</si>
  <si>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</si>
  <si>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</si>
  <si>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</si>
  <si>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</si>
  <si>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</si>
  <si>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</si>
  <si>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</si>
  <si>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</si>
  <si>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</si>
  <si>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</si>
  <si>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</si>
  <si>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</si>
  <si>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</si>
  <si>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</si>
  <si>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</si>
  <si>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</si>
  <si>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</si>
  <si>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</si>
  <si>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</si>
  <si>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</si>
  <si>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</si>
  <si>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</si>
  <si>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</si>
  <si>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</si>
  <si>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</si>
  <si>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</si>
  <si>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</si>
  <si>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</si>
  <si>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</si>
  <si>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</si>
  <si>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</si>
  <si>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</si>
  <si>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</si>
  <si>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</si>
  <si>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</si>
  <si>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</si>
  <si>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</si>
  <si>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</si>
  <si>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</si>
  <si>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</si>
  <si>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</si>
  <si>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</si>
  <si>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</si>
  <si>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</si>
  <si>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</si>
  <si>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</si>
  <si>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</si>
  <si>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</si>
  <si>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</si>
  <si>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</si>
  <si>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</si>
  <si>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</si>
  <si>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</si>
  <si>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</si>
  <si>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</si>
  <si>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</si>
  <si>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</si>
  <si>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</si>
  <si>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</si>
  <si>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</si>
  <si>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</si>
  <si>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</si>
  <si>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</si>
  <si>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</si>
  <si>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</si>
  <si>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</si>
  <si>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</si>
  <si>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</si>
  <si>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</si>
  <si>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</si>
  <si>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</si>
  <si>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</si>
  <si>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</si>
  <si>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</si>
  <si>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</si>
  <si>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</si>
  <si>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</si>
  <si>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</si>
  <si>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</si>
  <si>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</si>
  <si>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</si>
  <si>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</si>
  <si>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</si>
  <si>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</si>
  <si>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</si>
  <si>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</si>
  <si>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</si>
  <si>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</si>
  <si>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</si>
  <si>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</si>
  <si>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</si>
  <si>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</si>
  <si>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</si>
  <si>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</si>
  <si>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</si>
  <si>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</si>
  <si>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</si>
  <si>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</si>
  <si>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</si>
  <si>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</si>
  <si>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</si>
  <si>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</si>
  <si>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</si>
  <si>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</si>
  <si>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</si>
  <si>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</si>
  <si>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</si>
  <si>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</si>
  <si>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</si>
  <si>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</si>
  <si>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</si>
  <si>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</si>
  <si>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</si>
  <si>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</si>
  <si>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</si>
  <si>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</si>
  <si>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</si>
  <si>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</si>
  <si>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</si>
  <si>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</si>
  <si>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</si>
  <si>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</si>
  <si>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</si>
  <si>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</si>
  <si>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</si>
  <si>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</si>
  <si>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</si>
  <si>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</si>
  <si>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</si>
  <si>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</si>
  <si>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</si>
  <si>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</si>
  <si>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</si>
  <si>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</si>
  <si>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</si>
  <si>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</si>
  <si>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</si>
  <si>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</si>
  <si>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</si>
  <si>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</si>
  <si>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</si>
  <si>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</si>
  <si>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</si>
  <si>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</si>
  <si>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</si>
  <si>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</si>
  <si>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</si>
  <si>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</si>
  <si>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</si>
  <si>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</si>
  <si>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</si>
  <si>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</si>
  <si>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</si>
  <si>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</si>
  <si>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</si>
  <si>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</si>
  <si>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</si>
  <si>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</si>
  <si>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</si>
  <si>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</si>
  <si>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</si>
  <si>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</si>
  <si>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</si>
  <si>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</si>
  <si>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</si>
  <si>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</si>
  <si>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</si>
  <si>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</si>
  <si>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</si>
  <si>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</si>
  <si>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</si>
  <si>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</si>
  <si>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</si>
  <si>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</si>
  <si>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</si>
  <si>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</si>
  <si>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</si>
  <si>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</si>
  <si>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</si>
  <si>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</si>
  <si>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</si>
  <si>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</si>
  <si>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</si>
  <si>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</si>
  <si>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</si>
  <si>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</si>
  <si>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</si>
  <si>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</si>
  <si>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</si>
  <si>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</si>
  <si>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</si>
  <si>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</si>
  <si>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</si>
  <si>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</si>
  <si>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</si>
  <si>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</si>
  <si>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</si>
  <si>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</si>
  <si>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</si>
  <si>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</si>
  <si>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</si>
  <si>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</si>
  <si>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</si>
  <si>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</si>
  <si>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</si>
  <si>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</si>
  <si>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</si>
  <si>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</si>
  <si>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</si>
  <si>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</si>
  <si>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</si>
  <si>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</si>
  <si>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</si>
  <si>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</si>
  <si>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</si>
  <si>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</si>
  <si>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</si>
  <si>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</si>
  <si>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</si>
  <si>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</si>
  <si>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</si>
  <si>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</si>
  <si>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</si>
  <si>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</si>
  <si>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</si>
  <si>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</si>
  <si>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</si>
  <si>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</si>
  <si>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</si>
  <si>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</si>
  <si>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</si>
  <si>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</si>
  <si>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</si>
  <si>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</si>
  <si>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</si>
  <si>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</si>
  <si>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</si>
  <si>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</si>
  <si>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</si>
  <si>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</si>
  <si>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</si>
  <si>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</si>
  <si>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</si>
  <si>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</si>
  <si>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</si>
  <si>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</si>
  <si>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</si>
  <si>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</si>
  <si>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</si>
  <si>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</si>
  <si>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</si>
  <si>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</si>
  <si>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</si>
  <si>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</si>
  <si>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</si>
  <si>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</si>
  <si>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</si>
  <si>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</si>
  <si>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</si>
  <si>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</si>
  <si>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</si>
  <si>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</si>
  <si>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</si>
  <si>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</si>
  <si>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</si>
  <si>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</si>
  <si>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</si>
  <si>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</si>
  <si>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</si>
  <si>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</si>
  <si>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</si>
  <si>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</si>
  <si>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</si>
  <si>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</si>
  <si>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</si>
  <si>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</si>
  <si>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</si>
  <si>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</si>
  <si>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</si>
  <si>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</si>
  <si>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</si>
  <si>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</si>
  <si>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</si>
  <si>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</si>
  <si>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</si>
  <si>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</si>
  <si>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</si>
  <si>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</si>
  <si>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</si>
  <si>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</si>
  <si>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</si>
  <si>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</si>
  <si>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</si>
  <si>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</si>
  <si>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</si>
  <si>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</si>
  <si>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</si>
  <si>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</si>
  <si>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</si>
  <si>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</si>
  <si>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</si>
  <si>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</si>
  <si>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</si>
  <si>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</si>
  <si>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</si>
  <si>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</si>
  <si>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</si>
  <si>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</si>
  <si>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</si>
  <si>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</si>
  <si>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</si>
  <si>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</si>
  <si>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</si>
  <si>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</si>
  <si>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</si>
  <si>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</si>
  <si>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</si>
  <si>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</si>
  <si>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</si>
  <si>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</si>
  <si>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</si>
  <si>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</si>
  <si>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</si>
  <si>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</si>
  <si>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</si>
  <si>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</si>
  <si>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</si>
  <si>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</si>
  <si>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</si>
  <si>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</si>
  <si>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</si>
  <si>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</si>
  <si>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</si>
  <si>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</si>
  <si>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</si>
  <si>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</si>
  <si>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</si>
  <si>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</si>
  <si>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</si>
  <si>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</si>
  <si>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</si>
  <si>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</si>
  <si>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</si>
  <si>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</si>
  <si>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</si>
  <si>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</si>
  <si>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</si>
  <si>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</si>
  <si>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</si>
  <si>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</si>
  <si>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</si>
  <si>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</si>
  <si>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</si>
  <si>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</si>
  <si>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</si>
  <si>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</si>
  <si>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</si>
  <si>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</si>
  <si>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</si>
  <si>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</si>
  <si>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</si>
  <si>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</si>
  <si>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</si>
  <si>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</si>
  <si>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</si>
  <si>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</si>
  <si>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</si>
  <si>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</si>
  <si>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</si>
  <si>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</si>
  <si>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</si>
  <si>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</si>
  <si>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</si>
  <si>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</si>
  <si>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</si>
  <si>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</si>
  <si>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</si>
  <si>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</si>
  <si>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</si>
  <si>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</si>
  <si>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</si>
  <si>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</si>
  <si>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</si>
  <si>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</si>
  <si>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</si>
  <si>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</si>
  <si>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</si>
  <si>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</si>
  <si>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</si>
  <si>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</si>
  <si>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</si>
  <si>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</si>
  <si>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</si>
  <si>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</si>
  <si>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</si>
  <si>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</si>
  <si>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</si>
  <si>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</si>
  <si>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</si>
  <si>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</si>
  <si>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</si>
  <si>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</si>
  <si>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</si>
  <si>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</si>
  <si>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</si>
  <si>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</si>
  <si>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</si>
  <si>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</si>
  <si>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</si>
  <si>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</si>
  <si>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</si>
  <si>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</si>
  <si>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</si>
  <si>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</si>
  <si>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</si>
  <si>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</si>
  <si>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</si>
  <si>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</si>
  <si>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</si>
  <si>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</si>
  <si>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</si>
  <si>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</si>
  <si>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</si>
  <si>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</si>
  <si>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</si>
  <si>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</si>
  <si>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</si>
  <si>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</si>
  <si>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</si>
  <si>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</si>
  <si>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</si>
  <si>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</si>
  <si>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</si>
  <si>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</si>
  <si>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</si>
  <si>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</si>
  <si>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</si>
  <si>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</si>
  <si>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</si>
  <si>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</si>
  <si>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</si>
  <si>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</si>
  <si>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</si>
  <si>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</si>
  <si>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</si>
  <si>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</si>
  <si>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</si>
  <si>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</si>
  <si>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</si>
  <si>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</si>
  <si>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</si>
  <si>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</si>
  <si>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</si>
  <si>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</si>
  <si>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</si>
  <si>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</si>
  <si>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</si>
  <si>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</si>
  <si>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</si>
  <si>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</si>
  <si>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</si>
  <si>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</si>
  <si>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</si>
  <si>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</si>
  <si>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</si>
  <si>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</si>
  <si>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</si>
  <si>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</si>
  <si>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</si>
  <si>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</si>
  <si>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</si>
  <si>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</si>
  <si>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</si>
  <si>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</si>
  <si>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</si>
  <si>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</si>
  <si>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</si>
  <si>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</si>
  <si>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</si>
  <si>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</si>
  <si>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</si>
  <si>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</si>
  <si>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</si>
  <si>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</si>
  <si>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</si>
  <si>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</si>
  <si>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</si>
  <si>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</si>
  <si>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</si>
  <si>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</si>
  <si>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</si>
  <si>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</si>
  <si>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</si>
  <si>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</si>
  <si>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</si>
  <si>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</si>
  <si>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</si>
  <si>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</si>
  <si>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</si>
  <si>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</si>
  <si>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</si>
  <si>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</si>
  <si>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</si>
  <si>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</si>
  <si>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</si>
  <si>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</si>
  <si>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</si>
  <si>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</si>
  <si>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</si>
  <si>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</si>
  <si>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</si>
  <si>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</si>
  <si>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</si>
  <si>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</si>
  <si>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</si>
  <si>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</si>
  <si>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</si>
  <si>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</si>
  <si>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</si>
  <si>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</si>
  <si>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</si>
  <si>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</si>
  <si>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</si>
  <si>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</si>
  <si>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</si>
  <si>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</si>
  <si>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</si>
  <si>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</si>
  <si>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</si>
  <si>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</si>
  <si>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</si>
  <si>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</si>
  <si>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</si>
  <si>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</si>
  <si>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</si>
  <si>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</si>
  <si>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</si>
  <si>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</si>
  <si>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</si>
  <si>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</si>
  <si>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</si>
  <si>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</si>
  <si>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</si>
  <si>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</si>
  <si>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</si>
  <si>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</si>
  <si>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</si>
  <si>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</si>
  <si>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</si>
  <si>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</si>
  <si>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</si>
  <si>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</si>
  <si>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</si>
  <si>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</si>
  <si>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</si>
  <si>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</si>
  <si>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</si>
  <si>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</si>
  <si>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</si>
  <si>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</si>
  <si>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</si>
  <si>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</si>
  <si>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</si>
  <si>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</si>
  <si>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</si>
  <si>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</si>
  <si>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</si>
  <si>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</si>
  <si>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</si>
  <si>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</si>
  <si>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</si>
  <si>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</si>
  <si>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</si>
  <si>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</si>
  <si>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</si>
  <si>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</si>
  <si>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</si>
  <si>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</si>
  <si>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</si>
  <si>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</si>
  <si>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</si>
  <si>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</si>
  <si>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</si>
  <si>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</si>
  <si>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</si>
  <si>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</si>
  <si>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</si>
  <si>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</si>
  <si>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</si>
  <si>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</si>
  <si>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</si>
  <si>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</si>
  <si>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</si>
  <si>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</si>
  <si>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</si>
  <si>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</si>
  <si>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</si>
  <si>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</si>
  <si>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</si>
  <si>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</si>
  <si>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</si>
  <si>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</si>
  <si>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</si>
  <si>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</si>
  <si>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</si>
  <si>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</si>
  <si>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</si>
  <si>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</si>
  <si>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</si>
  <si>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</si>
  <si>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</si>
  <si>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</si>
  <si>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</si>
  <si>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</si>
  <si>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</si>
  <si>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</si>
  <si>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</si>
  <si>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</si>
  <si>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</si>
  <si>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</si>
  <si>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</si>
  <si>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</si>
  <si>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</si>
  <si>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</si>
  <si>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</si>
  <si>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</si>
  <si>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</si>
  <si>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</si>
  <si>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</si>
  <si>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</si>
  <si>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</si>
  <si>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</si>
  <si>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</si>
  <si>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</si>
  <si>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</si>
  <si>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</si>
  <si>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</si>
  <si>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</si>
  <si>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</si>
  <si>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</si>
  <si>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</si>
  <si>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</si>
  <si>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</si>
  <si>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</si>
  <si>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</si>
  <si>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</si>
  <si>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</si>
  <si>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</si>
  <si>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</si>
  <si>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</si>
  <si>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</si>
  <si>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</si>
  <si>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</si>
  <si>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</si>
  <si>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</si>
  <si>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</si>
  <si>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</si>
  <si>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</si>
  <si>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</si>
  <si>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</si>
  <si>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</si>
  <si>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</si>
  <si>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</si>
  <si>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</si>
  <si>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</si>
  <si>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</si>
  <si>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</si>
  <si>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</si>
  <si>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</si>
  <si>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</si>
  <si>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</si>
  <si>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</si>
  <si>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</si>
  <si>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</si>
  <si>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</si>
  <si>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</si>
  <si>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</si>
  <si>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</si>
  <si>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</si>
  <si>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</si>
  <si>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</si>
  <si>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</si>
  <si>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</si>
  <si>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</si>
  <si>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</si>
  <si>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</si>
  <si>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</si>
  <si>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</si>
  <si>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</si>
  <si>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</si>
  <si>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</si>
  <si>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</si>
  <si>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</si>
  <si>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</si>
  <si>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</si>
  <si>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</si>
  <si>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</si>
  <si>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</si>
  <si>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</si>
  <si>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</si>
  <si>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</si>
  <si>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</si>
  <si>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</si>
  <si>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</si>
  <si>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</si>
  <si>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</si>
  <si>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</si>
  <si>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</si>
  <si>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</si>
  <si>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</si>
  <si>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</si>
  <si>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</si>
  <si>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</si>
  <si>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</si>
  <si>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</si>
  <si>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</si>
  <si>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</si>
  <si>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</si>
  <si>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</si>
  <si>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</si>
  <si>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</si>
  <si>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</si>
  <si>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</si>
  <si>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</si>
  <si>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</si>
  <si>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</si>
  <si>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</si>
  <si>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</si>
  <si>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</si>
  <si>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</si>
  <si>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</si>
  <si>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</si>
  <si>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</si>
  <si>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</si>
  <si>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</si>
  <si>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</si>
  <si>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</si>
  <si>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</si>
  <si>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</si>
  <si>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</si>
  <si>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</si>
  <si>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</si>
  <si>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</si>
  <si>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</si>
  <si>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</si>
  <si>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</si>
  <si>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</si>
  <si>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</si>
  <si>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</si>
  <si>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</si>
  <si>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</si>
  <si>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</si>
  <si>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</si>
  <si>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</si>
  <si>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</si>
  <si>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</si>
  <si>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</si>
  <si>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</si>
  <si>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</si>
  <si>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</si>
  <si>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</si>
  <si>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</si>
  <si>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</si>
  <si>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</si>
  <si>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</si>
  <si>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</si>
  <si>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</si>
  <si>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</si>
  <si>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</si>
  <si>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</si>
  <si>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</si>
  <si>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</si>
  <si>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</si>
  <si>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</si>
  <si>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</si>
  <si>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</si>
  <si>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</si>
  <si>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</si>
  <si>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</si>
  <si>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</si>
  <si>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</si>
  <si>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</si>
  <si>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</si>
  <si>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</si>
  <si>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</si>
  <si>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</si>
  <si>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</si>
  <si>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</si>
  <si>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</si>
  <si>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</si>
  <si>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</si>
  <si>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</si>
  <si>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</si>
  <si>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</si>
  <si>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</si>
  <si>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</si>
  <si>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</si>
  <si>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</si>
  <si>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</si>
  <si>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</si>
  <si>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</si>
  <si>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</si>
  <si>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</si>
  <si>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</si>
  <si>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</si>
  <si>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</si>
  <si>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</si>
  <si>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</si>
  <si>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</si>
  <si>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</si>
  <si>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</si>
  <si>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</si>
  <si>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</si>
  <si>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</si>
  <si>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</si>
  <si>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</si>
  <si>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</si>
  <si>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</si>
  <si>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</si>
  <si>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</si>
  <si>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</si>
  <si>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</si>
  <si>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</si>
  <si>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</si>
  <si>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</si>
  <si>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</si>
  <si>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</si>
  <si>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</si>
  <si>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</si>
  <si>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</si>
  <si>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</si>
  <si>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</si>
  <si>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</si>
  <si>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</si>
  <si>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</si>
  <si>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</si>
  <si>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</si>
  <si>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</si>
  <si>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</si>
  <si>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</si>
  <si>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</si>
  <si>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</si>
  <si>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</si>
  <si>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</si>
  <si>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</si>
  <si>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</si>
  <si>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</si>
  <si>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</si>
  <si>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</si>
  <si>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</si>
  <si>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</si>
  <si>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</si>
  <si>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</si>
  <si>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</si>
  <si>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</si>
  <si>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</si>
  <si>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</si>
  <si>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</si>
  <si>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</si>
  <si>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</si>
  <si>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</si>
  <si>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</si>
  <si>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</si>
  <si>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</si>
  <si>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</si>
  <si>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</si>
  <si>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</si>
  <si>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</si>
  <si>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</si>
  <si>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</si>
  <si>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</si>
  <si>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</si>
  <si>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</si>
  <si>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</si>
  <si>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</si>
  <si>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</si>
  <si>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</si>
  <si>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</si>
  <si>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</si>
  <si>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</si>
  <si>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</si>
  <si>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</si>
  <si>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</si>
  <si>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</si>
  <si>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</si>
  <si>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</si>
  <si>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</si>
  <si>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</si>
  <si>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</si>
  <si>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</si>
  <si>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</si>
  <si>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</si>
  <si>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</si>
  <si>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</si>
  <si>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</si>
  <si>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</si>
  <si>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</si>
  <si>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</si>
  <si>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</si>
  <si>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</si>
  <si>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</si>
  <si>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</si>
  <si>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</si>
  <si>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</si>
  <si>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</si>
  <si>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</si>
  <si>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</si>
  <si>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</si>
  <si>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</si>
  <si>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</si>
  <si>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</si>
  <si>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</si>
  <si>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</si>
  <si>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</si>
  <si>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</si>
  <si>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</si>
  <si>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</si>
  <si>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</si>
  <si>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</si>
  <si>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</si>
  <si>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</si>
  <si>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</si>
  <si>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</si>
  <si>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</si>
  <si>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</si>
  <si>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</si>
  <si>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</si>
  <si>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</si>
  <si>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</si>
  <si>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</si>
  <si>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</si>
  <si>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</si>
  <si>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</si>
  <si>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</si>
  <si>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</si>
  <si>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</si>
  <si>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</si>
  <si>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</si>
  <si>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</si>
  <si>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</si>
  <si>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</si>
  <si>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</si>
  <si>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</si>
  <si>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</si>
  <si>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</si>
  <si>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</si>
  <si>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</si>
  <si>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</si>
  <si>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</si>
  <si>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</si>
  <si>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</si>
  <si>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</si>
  <si>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</si>
  <si>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</si>
  <si>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</si>
  <si>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</si>
  <si>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</si>
  <si>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</si>
  <si>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</si>
  <si>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</si>
  <si>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</si>
  <si>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</si>
  <si>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</si>
  <si>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</si>
  <si>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</si>
  <si>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</si>
  <si>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</si>
  <si>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</si>
  <si>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</si>
  <si>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</si>
  <si>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</si>
  <si>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</si>
  <si>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</si>
  <si>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</si>
  <si>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</si>
  <si>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</si>
  <si>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</si>
  <si>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</si>
  <si>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</si>
  <si>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</si>
  <si>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</si>
  <si>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</si>
  <si>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</si>
  <si>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</si>
  <si>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</si>
  <si>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</si>
  <si>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</si>
  <si>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</si>
  <si>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</si>
  <si>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</si>
  <si>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</si>
  <si>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</si>
  <si>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</si>
  <si>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</si>
  <si>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</si>
  <si>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</si>
  <si>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</si>
  <si>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</si>
  <si>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</si>
  <si>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</si>
  <si>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</si>
  <si>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</si>
  <si>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</si>
  <si>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</si>
  <si>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</si>
  <si>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</si>
  <si>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</si>
  <si>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</si>
  <si>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</si>
  <si>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</si>
  <si>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</si>
  <si>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</si>
  <si>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</si>
  <si>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</si>
  <si>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</si>
  <si>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</si>
  <si>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</si>
  <si>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</si>
  <si>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</si>
  <si>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</si>
  <si>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</si>
  <si>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</si>
  <si>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</si>
  <si>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</si>
  <si>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</si>
  <si>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</si>
  <si>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</si>
  <si>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</si>
  <si>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</si>
  <si>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</si>
  <si>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</si>
  <si>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</si>
  <si>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</si>
  <si>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</si>
  <si>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</si>
  <si>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</si>
  <si>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</si>
  <si>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</si>
  <si>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</si>
  <si>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</si>
  <si>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</si>
  <si>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</si>
  <si>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</si>
  <si>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</si>
  <si>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</si>
  <si>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</si>
  <si>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</si>
  <si>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</si>
  <si>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</si>
  <si>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</si>
  <si>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</si>
  <si>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</si>
  <si>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</si>
  <si>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</si>
  <si>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</si>
  <si>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</si>
  <si>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</si>
  <si>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</si>
  <si>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</si>
  <si>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</si>
  <si>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</si>
  <si>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</si>
  <si>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</si>
  <si>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</si>
  <si>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</si>
  <si>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</si>
  <si>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</si>
  <si>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</si>
  <si>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</si>
  <si>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</si>
  <si>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</si>
  <si>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</si>
  <si>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</si>
  <si>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</si>
  <si>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</si>
  <si>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</si>
  <si>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</si>
  <si>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</si>
  <si>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</si>
  <si>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</si>
  <si>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</si>
  <si>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</si>
  <si>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</si>
  <si>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</si>
  <si>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</si>
  <si>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</si>
  <si>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</si>
  <si>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</si>
  <si>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</si>
  <si>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</si>
  <si>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</si>
  <si>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</si>
  <si>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</si>
  <si>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</si>
  <si>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</si>
  <si>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</si>
  <si>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</si>
  <si>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</si>
  <si>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</si>
  <si>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</si>
  <si>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</si>
  <si>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</si>
  <si>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</si>
  <si>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</si>
  <si>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</si>
  <si>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</si>
  <si>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</si>
  <si>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</si>
  <si>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</si>
  <si>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</si>
  <si>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</si>
  <si>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</si>
  <si>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</si>
  <si>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</si>
  <si>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</si>
  <si>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</si>
  <si>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</si>
  <si>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</si>
  <si>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</si>
  <si>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</si>
  <si>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</si>
  <si>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</si>
  <si>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</si>
  <si>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</si>
  <si>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</si>
  <si>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</si>
  <si>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</si>
  <si>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</si>
  <si>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</si>
  <si>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</si>
  <si>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</si>
  <si>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</si>
  <si>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</si>
  <si>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</si>
  <si>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</si>
  <si>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</si>
  <si>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</si>
  <si>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</si>
  <si>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</si>
  <si>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</si>
  <si>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</si>
  <si>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</si>
  <si>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</si>
  <si>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</si>
  <si>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</si>
  <si>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</si>
  <si>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</si>
  <si>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</si>
  <si>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</si>
  <si>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</si>
  <si>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</si>
  <si>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</si>
  <si>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</si>
  <si>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</si>
  <si>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</si>
  <si>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</si>
  <si>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</si>
  <si>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</si>
  <si>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</si>
  <si>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</si>
  <si>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</si>
  <si>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</si>
  <si>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</si>
  <si>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</si>
  <si>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</si>
  <si>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</si>
  <si>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</si>
  <si>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</si>
  <si>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</si>
  <si>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</si>
  <si>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</si>
  <si>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</si>
  <si>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</si>
  <si>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</si>
  <si>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</si>
  <si>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</si>
  <si>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</si>
  <si>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</si>
  <si>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</si>
  <si>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</si>
  <si>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</si>
  <si>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</si>
  <si>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</si>
  <si>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</si>
  <si>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</si>
  <si>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</si>
  <si>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</si>
  <si>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</si>
  <si>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</si>
  <si>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</si>
  <si>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</si>
  <si>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</si>
  <si>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</si>
  <si>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</si>
  <si>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</si>
  <si>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</si>
  <si>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</si>
  <si>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</si>
  <si>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</si>
  <si>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</si>
  <si>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</si>
  <si>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</si>
  <si>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</si>
  <si>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</si>
  <si>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</si>
  <si>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</si>
  <si>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</si>
  <si>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</si>
  <si>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</si>
  <si>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</si>
  <si>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</si>
  <si>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</si>
  <si>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</si>
  <si>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</si>
  <si>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</si>
  <si>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</si>
  <si>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</si>
  <si>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</si>
  <si>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</si>
  <si>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</si>
  <si>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</si>
  <si>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</si>
  <si>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</si>
  <si>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</si>
  <si>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</si>
  <si>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</si>
  <si>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</si>
  <si>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</si>
  <si>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</si>
  <si>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</si>
  <si>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</si>
  <si>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</si>
  <si>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</si>
  <si>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</si>
  <si>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</si>
  <si>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</si>
  <si>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</si>
  <si>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</si>
  <si>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</si>
  <si>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</si>
  <si>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</si>
  <si>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</si>
  <si>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</si>
  <si>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</si>
  <si>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</si>
  <si>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</si>
  <si>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</si>
  <si>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</si>
  <si>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</si>
  <si>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</si>
  <si>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</si>
  <si>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</si>
  <si>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</si>
  <si>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</si>
  <si>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</si>
  <si>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</si>
  <si>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</si>
  <si>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</si>
  <si>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</si>
  <si>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</si>
  <si>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</si>
  <si>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</si>
  <si>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</si>
  <si>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</si>
  <si>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</si>
  <si>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</si>
  <si>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</si>
  <si>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</si>
  <si>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</si>
  <si>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</si>
  <si>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</si>
  <si>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</si>
  <si>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</si>
  <si>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</si>
  <si>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</si>
  <si>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</si>
  <si>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</si>
  <si>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</si>
  <si>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</si>
  <si>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</si>
  <si>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</si>
  <si>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</si>
  <si>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</si>
  <si>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</si>
  <si>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</si>
  <si>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</si>
  <si>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</si>
  <si>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</si>
  <si>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</si>
  <si>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</si>
  <si>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</si>
  <si>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</si>
  <si>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</si>
  <si>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</si>
  <si>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</si>
  <si>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</si>
  <si>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</si>
  <si>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</si>
  <si>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</si>
  <si>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</si>
  <si>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</si>
  <si>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</si>
  <si>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</si>
  <si>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</si>
  <si>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</si>
  <si>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</si>
  <si>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</si>
  <si>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</si>
  <si>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</si>
  <si>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</si>
  <si>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</si>
  <si>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</si>
  <si>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</si>
  <si>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</si>
  <si>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</si>
  <si>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</si>
  <si>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</si>
  <si>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</si>
  <si>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</si>
  <si>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</si>
  <si>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</si>
  <si>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</si>
  <si>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</si>
  <si>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</si>
  <si>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</si>
  <si>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</si>
  <si>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</si>
  <si>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</si>
  <si>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</si>
  <si>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</si>
  <si>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</si>
  <si>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</si>
  <si>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</si>
  <si>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</si>
  <si>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</si>
  <si>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</si>
  <si>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</si>
  <si>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</si>
  <si>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</si>
  <si>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</si>
  <si>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</si>
  <si>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</si>
  <si>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</si>
  <si>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</si>
  <si>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</si>
  <si>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</si>
  <si>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</si>
  <si>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</si>
  <si>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</si>
  <si>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</si>
  <si>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</si>
  <si>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</si>
  <si>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</si>
  <si>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</si>
  <si>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</si>
  <si>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</si>
  <si>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</si>
  <si>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</si>
  <si>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</si>
  <si>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</si>
  <si>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</si>
  <si>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</si>
  <si>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</si>
  <si>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</si>
  <si>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</si>
  <si>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</si>
  <si>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</si>
  <si>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</si>
  <si>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</si>
  <si>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</si>
  <si>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</si>
  <si>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</si>
  <si>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</si>
  <si>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</si>
  <si>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</si>
  <si>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</si>
  <si>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</si>
  <si>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</si>
  <si>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</si>
  <si>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</si>
  <si>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</si>
  <si>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</si>
  <si>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</si>
  <si>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</si>
  <si>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</si>
  <si>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</si>
  <si>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</si>
  <si>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</si>
  <si>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</si>
  <si>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</si>
  <si>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</si>
  <si>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</si>
  <si>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</si>
  <si>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</si>
  <si>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</si>
  <si>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</si>
  <si>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</si>
  <si>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</si>
  <si>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</si>
  <si>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</si>
  <si>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</si>
  <si>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</si>
  <si>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</si>
  <si>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</si>
  <si>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</si>
  <si>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</si>
  <si>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</si>
  <si>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</si>
  <si>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</si>
  <si>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</si>
  <si>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</si>
  <si>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</si>
  <si>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</si>
  <si>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</si>
  <si>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</si>
  <si>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</si>
  <si>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</si>
  <si>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</si>
  <si>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</si>
  <si>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</si>
  <si>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</si>
  <si>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</si>
  <si>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</si>
  <si>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</si>
  <si>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</si>
  <si>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</si>
  <si>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</si>
  <si>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</si>
  <si>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</si>
  <si>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</si>
  <si>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</si>
  <si>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</si>
  <si>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</si>
  <si>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</si>
  <si>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</si>
  <si>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</si>
  <si>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</si>
  <si>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</si>
  <si>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</si>
  <si>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</si>
  <si>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</si>
  <si>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</si>
  <si>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</si>
  <si>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</si>
  <si>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</si>
  <si>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</si>
  <si>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</si>
  <si>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</si>
  <si>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</si>
  <si>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</si>
  <si>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</si>
  <si>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</si>
  <si>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</si>
  <si>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</si>
  <si>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</si>
  <si>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</si>
  <si>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</si>
  <si>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</si>
  <si>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</si>
  <si>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</si>
  <si>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</si>
  <si>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</si>
  <si>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</si>
  <si>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</si>
  <si>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</si>
  <si>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</si>
  <si>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</si>
  <si>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</si>
  <si>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</si>
  <si>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</si>
  <si>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</si>
  <si>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</si>
  <si>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</si>
  <si>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</si>
  <si>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</si>
  <si>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</si>
  <si>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</si>
  <si>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</si>
  <si>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</si>
  <si>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</si>
  <si>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</si>
  <si>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</si>
  <si>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</si>
  <si>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</si>
  <si>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</si>
  <si>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</si>
  <si>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</si>
  <si>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</si>
  <si>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</si>
  <si>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</si>
  <si>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</si>
  <si>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</si>
  <si>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</si>
  <si>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</si>
  <si>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</si>
  <si>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</si>
  <si>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</si>
  <si>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</si>
  <si>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</si>
  <si>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</si>
  <si>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</si>
  <si>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</si>
  <si>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</si>
  <si>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</si>
  <si>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</si>
  <si>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</si>
  <si>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</si>
  <si>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</si>
  <si>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</si>
  <si>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</si>
  <si>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</si>
  <si>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</si>
  <si>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</si>
  <si>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</si>
  <si>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</si>
  <si>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</si>
  <si>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</si>
  <si>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</si>
  <si>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</si>
  <si>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</si>
  <si>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</si>
  <si>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</si>
  <si>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</si>
  <si>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</si>
  <si>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</si>
  <si>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</si>
  <si>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</si>
  <si>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</si>
  <si>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</si>
  <si>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</si>
  <si>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</si>
  <si>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</si>
  <si>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</si>
  <si>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</si>
  <si>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</si>
  <si>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</si>
  <si>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</si>
  <si>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</si>
  <si>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</si>
  <si>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</si>
  <si>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</si>
  <si>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</si>
  <si>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</si>
  <si>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</si>
  <si>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</si>
  <si>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</si>
  <si>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</si>
  <si>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</si>
  <si>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</si>
  <si>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</si>
  <si>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</si>
  <si>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</si>
  <si>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</si>
  <si>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</si>
  <si>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</si>
  <si>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</si>
  <si>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</si>
  <si>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</si>
  <si>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</si>
  <si>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</si>
  <si>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</si>
  <si>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</si>
  <si>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</si>
  <si>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</si>
  <si>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</si>
  <si>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</si>
  <si>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</si>
  <si>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</si>
  <si>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</si>
  <si>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</si>
  <si>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</si>
  <si>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</si>
  <si>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</si>
  <si>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</si>
  <si>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</si>
  <si>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</si>
  <si>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</si>
  <si>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</si>
  <si>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</si>
  <si>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</si>
  <si>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</si>
  <si>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</si>
  <si>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</si>
  <si>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</si>
  <si>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</si>
  <si>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</si>
  <si>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</si>
  <si>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</si>
  <si>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</si>
  <si>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</si>
  <si>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</si>
  <si>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</si>
  <si>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</si>
  <si>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</si>
  <si>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</si>
  <si>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</si>
  <si>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</si>
  <si>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</si>
  <si>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</si>
  <si>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</si>
  <si>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</si>
  <si>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</si>
  <si>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</si>
  <si>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</si>
  <si>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</si>
  <si>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</si>
  <si>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</si>
  <si>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</si>
  <si>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</si>
  <si>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</si>
  <si>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</si>
  <si>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</si>
  <si>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</si>
  <si>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</si>
  <si>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</si>
  <si>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</si>
  <si>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</si>
  <si>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</si>
  <si>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</si>
  <si>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</si>
  <si>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</si>
  <si>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</si>
  <si>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</si>
  <si>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</si>
  <si>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</si>
  <si>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</si>
  <si>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</si>
  <si>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</si>
  <si>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</si>
  <si>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</si>
  <si>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</si>
  <si>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</si>
  <si>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</si>
  <si>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</si>
  <si>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</si>
  <si>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</si>
  <si>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</si>
  <si>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</si>
  <si>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</si>
  <si>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</si>
  <si>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</si>
  <si>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</si>
  <si>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</si>
  <si>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</si>
  <si>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</si>
  <si>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</si>
  <si>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</si>
  <si>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</si>
  <si>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</si>
  <si>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</si>
  <si>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</si>
  <si>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</si>
  <si>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</si>
  <si>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</si>
  <si>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</si>
  <si>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</si>
  <si>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</si>
  <si>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</si>
  <si>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</si>
  <si>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</si>
  <si>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</si>
  <si>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</si>
  <si>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</si>
  <si>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</si>
  <si>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</si>
  <si>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</si>
  <si>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</si>
  <si>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</si>
  <si>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</si>
  <si>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</si>
  <si>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</si>
  <si>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</si>
  <si>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</si>
  <si>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</si>
  <si>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</si>
  <si>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</si>
  <si>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</si>
  <si>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</si>
  <si>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</si>
  <si>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</si>
  <si>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</si>
  <si>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</si>
  <si>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</si>
  <si>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</si>
  <si>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</si>
  <si>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</si>
  <si>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</si>
  <si>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</si>
  <si>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</si>
  <si>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</si>
  <si>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</si>
  <si>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</si>
  <si>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</si>
  <si>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</si>
  <si>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</si>
  <si>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</si>
  <si>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</si>
  <si>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</si>
  <si>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</si>
  <si>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</si>
  <si>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</si>
  <si>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</si>
  <si>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</si>
  <si>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</si>
  <si>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</si>
  <si>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</si>
  <si>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</si>
  <si>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</si>
  <si>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</si>
  <si>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</si>
  <si>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</si>
  <si>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</si>
  <si>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</si>
  <si>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</si>
  <si>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</si>
  <si>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</si>
  <si>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</si>
  <si>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</si>
  <si>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</si>
  <si>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</si>
  <si>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</si>
  <si>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</si>
  <si>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</si>
  <si>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</si>
  <si>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</si>
  <si>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</si>
  <si>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</si>
  <si>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</si>
  <si>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</si>
  <si>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</si>
  <si>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</si>
  <si>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</si>
  <si>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</si>
  <si>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</si>
  <si>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</si>
  <si>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</si>
  <si>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</si>
  <si>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</si>
  <si>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</si>
  <si>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</si>
  <si>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</si>
  <si>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</si>
  <si>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</si>
  <si>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</si>
  <si>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</si>
  <si>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</si>
  <si>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</si>
  <si>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</si>
  <si>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</si>
  <si>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</si>
  <si>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</si>
  <si>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</si>
  <si>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</si>
  <si>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</si>
  <si>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</si>
  <si>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</si>
  <si>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</si>
  <si>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</si>
  <si>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</si>
  <si>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</si>
  <si>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</si>
  <si>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</si>
  <si>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</si>
  <si>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</si>
  <si>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</si>
  <si>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</si>
  <si>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</si>
  <si>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</si>
  <si>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</si>
  <si>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</si>
  <si>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</si>
  <si>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</si>
  <si>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</si>
  <si>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</si>
  <si>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</si>
  <si>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</si>
  <si>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</si>
  <si>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</si>
  <si>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</si>
  <si>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</si>
  <si>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</si>
  <si>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</si>
  <si>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</si>
  <si>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</si>
  <si>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</si>
  <si>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</si>
  <si>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</si>
  <si>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</si>
  <si>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</si>
  <si>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</si>
  <si>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</si>
  <si>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</si>
  <si>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</si>
  <si>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</si>
  <si>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</si>
  <si>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</si>
  <si>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</si>
  <si>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</si>
  <si>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</si>
  <si>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</si>
  <si>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</si>
  <si>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</si>
  <si>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</si>
  <si>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</si>
  <si>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</si>
  <si>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</si>
  <si>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</si>
  <si>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</si>
  <si>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</si>
  <si>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</si>
  <si>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</si>
  <si>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</si>
  <si>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</si>
  <si>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</si>
  <si>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</si>
  <si>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</si>
  <si>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</si>
  <si>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</si>
  <si>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</si>
  <si>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</si>
  <si>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</si>
  <si>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</si>
  <si>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</si>
  <si>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</si>
  <si>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</si>
  <si>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</si>
  <si>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</si>
  <si>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</si>
  <si>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</si>
  <si>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</si>
  <si>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</si>
  <si>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</si>
  <si>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</si>
  <si>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</si>
  <si>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</si>
  <si>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</si>
  <si>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</si>
  <si>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</si>
  <si>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</si>
  <si>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</si>
  <si>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</si>
  <si>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</si>
  <si>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</si>
  <si>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</si>
  <si>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</si>
  <si>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</si>
  <si>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</si>
  <si>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</si>
  <si>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</si>
  <si>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</si>
  <si>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</si>
  <si>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</si>
  <si>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</si>
  <si>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</si>
  <si>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</si>
  <si>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</si>
  <si>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</si>
  <si>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</si>
  <si>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</si>
  <si>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</si>
  <si>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</si>
  <si>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</si>
  <si>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</si>
  <si>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</si>
  <si>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</si>
  <si>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</si>
  <si>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</si>
  <si>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</si>
  <si>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</si>
  <si>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</si>
  <si>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</si>
  <si>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</si>
  <si>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</si>
  <si>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</si>
  <si>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</si>
  <si>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</si>
  <si>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</si>
  <si>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</si>
  <si>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</si>
  <si>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</si>
  <si>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</si>
  <si>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</si>
  <si>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</si>
  <si>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</si>
  <si>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</si>
  <si>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</si>
  <si>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</si>
  <si>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</si>
  <si>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</si>
  <si>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</si>
  <si>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</si>
  <si>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</si>
  <si>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</si>
  <si>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</si>
  <si>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</si>
  <si>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</si>
  <si>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</si>
  <si>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</si>
  <si>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</si>
  <si>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</si>
  <si>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</si>
  <si>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</si>
  <si>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</si>
  <si>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</si>
  <si>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</si>
  <si>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</si>
  <si>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</si>
  <si>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</si>
  <si>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</si>
  <si>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</si>
  <si>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</si>
  <si>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</si>
  <si>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</si>
  <si>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</si>
  <si>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</si>
  <si>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</si>
  <si>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</si>
  <si>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</si>
  <si>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</si>
  <si>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</si>
  <si>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</si>
  <si>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</si>
  <si>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</si>
  <si>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</si>
  <si>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</si>
  <si>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</si>
  <si>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</si>
  <si>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</si>
  <si>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</si>
  <si>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</si>
  <si>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</si>
  <si>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</si>
  <si>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</si>
  <si>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</si>
  <si>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</si>
  <si>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</si>
  <si>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</si>
  <si>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</si>
  <si>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</si>
  <si>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</si>
  <si>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</si>
  <si>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</si>
  <si>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</si>
  <si>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</si>
  <si>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</si>
  <si>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</si>
  <si>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</si>
  <si>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</si>
  <si>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</si>
  <si>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</si>
  <si>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</si>
  <si>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</si>
  <si>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</si>
  <si>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</si>
  <si>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</si>
  <si>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</si>
  <si>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</si>
  <si>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</si>
  <si>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</si>
  <si>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</si>
  <si>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</si>
  <si>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</si>
  <si>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</si>
  <si>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</si>
  <si>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</si>
  <si>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</si>
  <si>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</si>
  <si>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</si>
  <si>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</si>
  <si>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</si>
  <si>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</si>
  <si>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</si>
  <si>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</si>
  <si>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</si>
  <si>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</si>
  <si>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</si>
  <si>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</si>
  <si>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</si>
  <si>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</si>
  <si>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</si>
  <si>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</si>
  <si>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</si>
  <si>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</si>
  <si>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</si>
  <si>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</si>
  <si>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</si>
  <si>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</si>
  <si>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</si>
  <si>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</si>
  <si>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</si>
  <si>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</si>
  <si>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</si>
  <si>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</si>
  <si>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</si>
  <si>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</si>
  <si>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</si>
  <si>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</si>
  <si>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</si>
  <si>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</si>
  <si>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</si>
  <si>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</si>
  <si>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</si>
  <si>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</si>
  <si>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</si>
  <si>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</si>
  <si>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</si>
  <si>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</si>
  <si>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</si>
  <si>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</si>
  <si>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</si>
  <si>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</si>
  <si>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</si>
  <si>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</si>
  <si>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</si>
  <si>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</si>
  <si>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</si>
  <si>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</si>
  <si>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</si>
  <si>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</si>
  <si>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</si>
  <si>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</si>
  <si>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</si>
  <si>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</si>
  <si>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</si>
  <si>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</si>
  <si>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</si>
  <si>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</si>
  <si>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</si>
  <si>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</si>
  <si>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</si>
  <si>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</si>
  <si>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</si>
  <si>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</si>
  <si>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</si>
  <si>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</si>
  <si>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</si>
  <si>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</si>
  <si>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</si>
  <si>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</si>
  <si>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</si>
  <si>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</si>
  <si>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</si>
  <si>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</si>
  <si>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</si>
  <si>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</si>
  <si>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</si>
  <si>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</si>
  <si>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</si>
  <si>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</si>
  <si>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</si>
  <si>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</si>
  <si>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</si>
  <si>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</si>
  <si>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</si>
  <si>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</si>
  <si>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</si>
  <si>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</si>
  <si>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</si>
  <si>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</si>
  <si>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</si>
  <si>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</si>
  <si>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</si>
  <si>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</si>
  <si>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</si>
  <si>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</si>
  <si>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</si>
  <si>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</si>
  <si>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</si>
  <si>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</si>
  <si>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</si>
  <si>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</si>
  <si>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</si>
  <si>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</si>
  <si>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</si>
  <si>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</si>
  <si>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</si>
  <si>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</si>
  <si>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</si>
  <si>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</si>
  <si>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</si>
  <si>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</si>
  <si>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</si>
  <si>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</si>
  <si>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</si>
  <si>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</si>
  <si>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</si>
  <si>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</si>
  <si>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</si>
  <si>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</si>
  <si>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</si>
  <si>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</si>
  <si>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</si>
  <si>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</si>
  <si>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</si>
  <si>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</si>
  <si>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</si>
  <si>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</si>
  <si>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</si>
  <si>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</si>
  <si>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</si>
  <si>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</si>
  <si>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</si>
  <si>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</si>
  <si>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</si>
  <si>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</si>
  <si>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</si>
  <si>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</si>
  <si>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</si>
  <si>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</si>
  <si>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</si>
  <si>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</si>
  <si>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</si>
  <si>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</si>
  <si>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</si>
  <si>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</si>
  <si>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</si>
  <si>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</si>
  <si>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</si>
  <si>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</si>
  <si>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</si>
  <si>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</si>
  <si>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</si>
  <si>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</si>
  <si>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</si>
  <si>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</si>
  <si>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</si>
  <si>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</si>
  <si>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</si>
  <si>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</si>
  <si>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</si>
  <si>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</si>
  <si>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</si>
  <si>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</si>
  <si>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</si>
  <si>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</si>
  <si>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</si>
  <si>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</si>
  <si>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</si>
  <si>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</si>
  <si>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</si>
  <si>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</si>
  <si>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</si>
  <si>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</si>
  <si>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</si>
  <si>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</si>
  <si>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</si>
  <si>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</si>
  <si>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</si>
  <si>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</si>
  <si>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</si>
  <si>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</si>
  <si>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</si>
  <si>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</si>
  <si>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</si>
  <si>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</si>
  <si>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</si>
  <si>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</si>
  <si>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</si>
  <si>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</si>
  <si>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</si>
  <si>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</si>
  <si>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</si>
  <si>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</si>
  <si>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</si>
  <si>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</si>
  <si>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</si>
  <si>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</si>
  <si>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</si>
  <si>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</si>
  <si>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</si>
  <si>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</si>
  <si>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</si>
  <si>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</si>
  <si>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</si>
  <si>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</si>
  <si>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</si>
  <si>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</si>
  <si>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</si>
  <si>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</si>
  <si>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</si>
  <si>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</si>
  <si>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</si>
  <si>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</si>
  <si>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</si>
  <si>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</si>
  <si>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</si>
  <si>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</si>
  <si>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</si>
  <si>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</si>
  <si>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</si>
  <si>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</si>
  <si>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</si>
  <si>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</si>
  <si>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</si>
  <si>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</si>
  <si>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</si>
  <si>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</si>
  <si>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</si>
  <si>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</si>
  <si>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</si>
  <si>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</si>
  <si>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</si>
  <si>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</si>
  <si>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</si>
  <si>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</si>
  <si>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</si>
  <si>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</si>
  <si>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</si>
  <si>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</si>
  <si>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</si>
  <si>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</si>
  <si>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</si>
  <si>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</si>
  <si>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</si>
  <si>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</si>
  <si>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</si>
  <si>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</si>
  <si>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</si>
  <si>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</si>
  <si>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</si>
  <si>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</si>
  <si>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</si>
  <si>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</si>
  <si>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</si>
  <si>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</si>
  <si>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</si>
  <si>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</si>
  <si>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</si>
  <si>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</si>
  <si>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</si>
  <si>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</si>
  <si>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</si>
  <si>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</si>
  <si>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</si>
  <si>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</si>
  <si>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</si>
  <si>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</si>
  <si>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</si>
  <si>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</si>
  <si>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</si>
  <si>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</si>
  <si>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</si>
  <si>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</si>
  <si>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</si>
  <si>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</si>
  <si>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</si>
  <si>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</si>
  <si>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</si>
  <si>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</si>
  <si>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</si>
  <si>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</si>
  <si>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</si>
  <si>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</si>
  <si>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</si>
  <si>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</si>
  <si>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</si>
  <si>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</si>
  <si>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</si>
  <si>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</si>
  <si>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</si>
  <si>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</si>
  <si>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</si>
  <si>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</si>
  <si>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</si>
  <si>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</si>
  <si>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</si>
  <si>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</si>
  <si>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</si>
  <si>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</si>
  <si>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</si>
  <si>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</si>
  <si>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</si>
  <si>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</si>
  <si>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</si>
  <si>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</si>
  <si>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</si>
  <si>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</si>
  <si>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</si>
  <si>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</si>
  <si>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</si>
  <si>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</si>
  <si>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</si>
  <si>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</si>
  <si>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</si>
  <si>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</si>
  <si>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</si>
  <si>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</si>
  <si>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</si>
  <si>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</si>
  <si>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</si>
  <si>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</si>
  <si>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</si>
  <si>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</si>
  <si>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</si>
  <si>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</si>
  <si>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</si>
  <si>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</si>
  <si>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</si>
  <si>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</si>
  <si>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</si>
  <si>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</si>
  <si>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</si>
  <si>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</si>
  <si>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</si>
  <si>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</si>
  <si>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</si>
  <si>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</si>
  <si>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</si>
  <si>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</si>
  <si>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</si>
  <si>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</si>
  <si>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</si>
  <si>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</si>
  <si>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</si>
  <si>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</si>
  <si>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</si>
  <si>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</si>
  <si>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</si>
  <si>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</si>
  <si>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</si>
  <si>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</si>
  <si>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</si>
  <si>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</si>
  <si>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</si>
  <si>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</si>
  <si>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</si>
  <si>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</si>
  <si>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</si>
  <si>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</si>
  <si>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</si>
  <si>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</si>
  <si>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</si>
  <si>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</si>
  <si>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</si>
  <si>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</si>
  <si>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</si>
  <si>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</si>
  <si>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</si>
  <si>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</si>
  <si>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</si>
  <si>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</si>
  <si>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</si>
  <si>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</si>
  <si>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</si>
  <si>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</si>
  <si>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</si>
  <si>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</si>
  <si>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</si>
  <si>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</si>
  <si>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</si>
  <si>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</si>
  <si>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</si>
  <si>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</si>
  <si>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</si>
  <si>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</si>
  <si>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</si>
  <si>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</si>
  <si>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</si>
  <si>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</si>
  <si>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</si>
  <si>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</si>
  <si>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</si>
  <si>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</si>
  <si>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</si>
  <si>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</si>
  <si>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</si>
  <si>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</si>
  <si>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</si>
  <si>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</si>
  <si>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</si>
  <si>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</si>
  <si>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</si>
  <si>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</si>
  <si>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</si>
  <si>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</si>
  <si>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</si>
  <si>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</si>
  <si>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</si>
  <si>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</si>
  <si>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</si>
  <si>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</si>
  <si>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</si>
  <si>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</si>
  <si>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</si>
  <si>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</si>
  <si>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</si>
  <si>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</si>
  <si>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</si>
  <si>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</si>
  <si>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</si>
  <si>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</si>
  <si>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</si>
  <si>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</si>
  <si>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</si>
  <si>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</si>
  <si>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</si>
  <si>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</si>
  <si>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</si>
  <si>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</si>
  <si>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</si>
  <si>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</si>
  <si>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</si>
  <si>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</si>
  <si>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</si>
  <si>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</si>
  <si>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</si>
  <si>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</si>
  <si>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</si>
  <si>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</si>
  <si>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</si>
  <si>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</si>
  <si>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</si>
  <si>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</si>
  <si>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</si>
  <si>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</si>
  <si>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</si>
  <si>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</si>
  <si>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</si>
  <si>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</si>
  <si>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</si>
  <si>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</si>
  <si>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</si>
  <si>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</si>
  <si>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</si>
  <si>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</si>
  <si>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</si>
  <si>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</si>
  <si>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</si>
  <si>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</si>
  <si>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</si>
  <si>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</si>
  <si>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</si>
  <si>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</si>
  <si>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</si>
  <si>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</si>
  <si>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</si>
  <si>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</si>
  <si>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</si>
  <si>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</si>
  <si>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</si>
  <si>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</si>
  <si>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</si>
  <si>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</si>
  <si>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</si>
  <si>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</si>
  <si>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</si>
  <si>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</si>
  <si>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</si>
  <si>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</si>
  <si>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</si>
  <si>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</si>
  <si>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</si>
  <si>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</si>
  <si>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</si>
  <si>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</si>
  <si>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</si>
  <si>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</si>
  <si>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</si>
  <si>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</si>
  <si>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</si>
  <si>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</si>
  <si>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</si>
  <si>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</si>
  <si>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</si>
  <si>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</si>
  <si>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</si>
  <si>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</si>
  <si>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</si>
  <si>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</si>
  <si>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</si>
  <si>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</si>
  <si>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</si>
  <si>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</si>
  <si>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</si>
  <si>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</si>
  <si>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</si>
  <si>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</si>
  <si>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</si>
  <si>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</si>
  <si>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</si>
  <si>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</si>
  <si>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</si>
  <si>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</si>
  <si>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</si>
  <si>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</si>
  <si>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</si>
  <si>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</si>
  <si>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</si>
  <si>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</si>
  <si>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</si>
  <si>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</si>
  <si>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</si>
  <si>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</si>
  <si>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</si>
  <si>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</si>
  <si>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</si>
  <si>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</si>
  <si>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</si>
  <si>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</si>
  <si>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</si>
  <si>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</si>
  <si>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</si>
  <si>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</si>
  <si>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</si>
  <si>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</si>
  <si>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</si>
  <si>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</si>
  <si>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</si>
  <si>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</si>
  <si>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</si>
  <si>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</si>
  <si>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</si>
  <si>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</si>
  <si>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</si>
  <si>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</si>
  <si>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</si>
  <si>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</si>
  <si>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</si>
  <si>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</si>
  <si>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</si>
  <si>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</si>
  <si>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</si>
  <si>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</si>
  <si>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</si>
  <si>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</si>
  <si>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</si>
  <si>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</si>
  <si>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</si>
  <si>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</si>
  <si>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</si>
  <si>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</si>
  <si>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</si>
  <si>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</si>
  <si>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</si>
  <si>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</si>
  <si>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</si>
  <si>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</si>
  <si>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</si>
  <si>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</si>
  <si>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</si>
  <si>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</si>
  <si>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</si>
  <si>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</si>
  <si>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</si>
  <si>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</si>
  <si>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</si>
  <si>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</si>
  <si>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</si>
  <si>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</si>
  <si>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</si>
  <si>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</si>
  <si>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</si>
  <si>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</si>
  <si>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</si>
  <si>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</si>
  <si>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</si>
  <si>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</si>
  <si>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</si>
  <si>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</si>
  <si>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</si>
  <si>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</si>
  <si>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</si>
  <si>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</si>
  <si>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</si>
  <si>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</si>
  <si>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</si>
  <si>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</si>
  <si>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</si>
  <si>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</si>
  <si>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</si>
  <si>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</si>
  <si>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</si>
  <si>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</si>
  <si>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</si>
  <si>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</si>
  <si>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</si>
  <si>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</si>
  <si>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</si>
  <si>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</si>
  <si>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</si>
  <si>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</si>
  <si>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</si>
  <si>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</si>
  <si>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</si>
  <si>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</si>
  <si>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</si>
  <si>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</si>
  <si>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</si>
  <si>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</si>
  <si>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</si>
  <si>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</si>
  <si>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</si>
  <si>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</si>
  <si>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</si>
  <si>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</si>
  <si>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</si>
  <si>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</si>
  <si>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</si>
  <si>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</si>
  <si>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</si>
  <si>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</si>
  <si>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</si>
  <si>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</si>
  <si>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</si>
  <si>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</si>
  <si>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</si>
  <si>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</si>
  <si>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</si>
  <si>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</si>
  <si>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</si>
  <si>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</si>
  <si>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</si>
  <si>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</si>
  <si>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</si>
  <si>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</si>
  <si>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</si>
  <si>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</si>
  <si>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</si>
  <si>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</si>
  <si>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</si>
  <si>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</si>
  <si>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</si>
  <si>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</si>
  <si>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</si>
  <si>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</si>
  <si>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</si>
  <si>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</si>
  <si>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</si>
  <si>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</si>
  <si>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</si>
  <si>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</si>
  <si>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</si>
  <si>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</si>
  <si>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</si>
  <si>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</si>
  <si>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</si>
  <si>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</si>
  <si>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</si>
  <si>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</si>
  <si>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</si>
  <si>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</si>
  <si>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</si>
  <si>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</si>
  <si>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</si>
  <si>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</si>
  <si>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</si>
  <si>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</si>
  <si>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</si>
  <si>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</si>
  <si>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</si>
  <si>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</si>
  <si>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</si>
  <si>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</si>
  <si>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</si>
  <si>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</si>
  <si>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</si>
  <si>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</si>
  <si>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</si>
  <si>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</si>
  <si>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</si>
  <si>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</si>
  <si>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</si>
  <si>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</si>
  <si>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</si>
  <si>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</si>
  <si>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</si>
  <si>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</si>
  <si>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</si>
  <si>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</si>
  <si>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</si>
  <si>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</si>
  <si>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</si>
  <si>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</si>
  <si>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</si>
  <si>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</si>
  <si>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</si>
  <si>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</si>
  <si>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</si>
  <si>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</si>
  <si>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</si>
  <si>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</si>
  <si>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</si>
  <si>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</si>
  <si>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</si>
  <si>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</si>
  <si>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</si>
  <si>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</si>
  <si>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</si>
  <si>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</si>
  <si>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</si>
  <si>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</si>
  <si>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</si>
  <si>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</si>
  <si>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</si>
  <si>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</si>
  <si>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</si>
  <si>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</si>
  <si>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</si>
  <si>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</si>
  <si>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</si>
  <si>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</si>
  <si>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</si>
  <si>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</si>
  <si>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</si>
  <si>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</si>
  <si>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</si>
  <si>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</si>
  <si>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</si>
  <si>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</si>
  <si>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</si>
  <si>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</si>
  <si>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</si>
  <si>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</si>
  <si>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</si>
  <si>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</si>
  <si>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</si>
  <si>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</si>
  <si>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</si>
  <si>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</si>
  <si>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</si>
  <si>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</si>
  <si>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</si>
  <si>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</si>
  <si>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</si>
  <si>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</si>
  <si>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</si>
  <si>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</si>
  <si>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</si>
  <si>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</si>
  <si>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</si>
  <si>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</si>
  <si>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</si>
  <si>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</si>
  <si>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</si>
  <si>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</si>
  <si>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</si>
  <si>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</si>
  <si>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</si>
  <si>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</si>
  <si>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</si>
  <si>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</si>
  <si>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</si>
  <si>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</si>
  <si>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</si>
  <si>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</si>
  <si>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</si>
  <si>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</si>
  <si>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</si>
  <si>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</si>
  <si>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</si>
  <si>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</si>
  <si>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</si>
  <si>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</si>
  <si>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</si>
  <si>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</si>
  <si>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</si>
  <si>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</si>
  <si>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</si>
  <si>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</si>
  <si>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</si>
  <si>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</si>
  <si>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</si>
  <si>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</si>
  <si>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</si>
  <si>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</si>
  <si>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</si>
  <si>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</si>
  <si>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</si>
  <si>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</si>
  <si>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</si>
  <si>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</si>
  <si>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</si>
  <si>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</si>
  <si>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</si>
  <si>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</si>
  <si>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</si>
  <si>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</si>
  <si>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</si>
  <si>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</si>
  <si>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</si>
  <si>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</si>
  <si>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</si>
  <si>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</si>
  <si>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</si>
  <si>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</si>
  <si>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</si>
  <si>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</si>
  <si>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</si>
  <si>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</si>
  <si>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</si>
  <si>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</si>
  <si>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</si>
  <si>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</si>
  <si>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</si>
  <si>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</si>
  <si>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</si>
  <si>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</si>
  <si>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</si>
  <si>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</si>
  <si>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</si>
  <si>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</si>
  <si>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</si>
  <si>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</si>
  <si>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</si>
  <si>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</si>
  <si>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</si>
  <si>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</si>
  <si>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</si>
  <si>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</si>
  <si>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</si>
  <si>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</si>
  <si>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</si>
  <si>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</si>
  <si>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</si>
  <si>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</si>
  <si>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</si>
  <si>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</si>
  <si>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</si>
  <si>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</si>
  <si>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</si>
  <si>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</si>
  <si>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</si>
  <si>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</si>
  <si>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</si>
  <si>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</si>
  <si>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</si>
  <si>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</si>
  <si>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</si>
  <si>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</si>
  <si>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</si>
  <si>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</si>
  <si>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</si>
  <si>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</si>
  <si>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</si>
  <si>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</si>
  <si>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</si>
  <si>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</si>
  <si>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</si>
  <si>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</si>
  <si>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</si>
  <si>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</si>
  <si>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</si>
  <si>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</si>
  <si>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</si>
  <si>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</si>
  <si>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</si>
  <si>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</si>
  <si>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</si>
  <si>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</si>
  <si>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</si>
  <si>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</si>
  <si>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</si>
  <si>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</si>
  <si>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</si>
  <si>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</si>
  <si>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</si>
  <si>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</si>
  <si>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</si>
  <si>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</si>
  <si>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</si>
  <si>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</si>
  <si>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</si>
  <si>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</si>
  <si>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</si>
  <si>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</si>
  <si>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</si>
  <si>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</si>
  <si>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</si>
  <si>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</si>
  <si>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</si>
  <si>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</si>
  <si>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</si>
  <si>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</si>
  <si>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</si>
  <si>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</si>
  <si>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</si>
  <si>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</si>
  <si>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</si>
  <si>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</si>
  <si>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</si>
  <si>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</si>
  <si>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</si>
  <si>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</si>
  <si>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</si>
  <si>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</si>
  <si>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</si>
  <si>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</si>
  <si>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</si>
  <si>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</si>
  <si>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</si>
  <si>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</si>
  <si>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</si>
  <si>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</si>
  <si>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</si>
  <si>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</si>
  <si>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</si>
  <si>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</si>
  <si>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</si>
  <si>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</si>
  <si>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</si>
  <si>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</si>
  <si>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</si>
  <si>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</si>
  <si>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</si>
  <si>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</si>
  <si>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</si>
  <si>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</si>
  <si>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</si>
  <si>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</si>
  <si>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</si>
  <si>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</si>
  <si>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</si>
  <si>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</si>
  <si>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</si>
  <si>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</si>
  <si>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</si>
  <si>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</si>
  <si>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</si>
  <si>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</si>
  <si>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</si>
  <si>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</si>
  <si>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</si>
  <si>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</si>
  <si>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</si>
  <si>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</si>
  <si>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</si>
  <si>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</si>
  <si>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</si>
  <si>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</si>
  <si>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</si>
  <si>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</si>
  <si>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</si>
  <si>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</si>
  <si>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</si>
  <si>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</si>
  <si>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</si>
  <si>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</si>
  <si>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</si>
  <si>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</si>
  <si>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</si>
  <si>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</si>
  <si>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</si>
  <si>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</si>
  <si>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</si>
  <si>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</si>
  <si>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</si>
  <si>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</si>
  <si>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</si>
  <si>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</si>
  <si>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</si>
  <si>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</si>
  <si>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</si>
  <si>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</si>
  <si>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</si>
  <si>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</si>
  <si>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</si>
  <si>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</si>
  <si>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</si>
  <si>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</si>
  <si>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</si>
  <si>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</si>
  <si>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</si>
  <si>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</si>
  <si>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</si>
  <si>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</si>
  <si>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</si>
  <si>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</si>
  <si>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</si>
  <si>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</si>
  <si>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</si>
  <si>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</si>
  <si>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</si>
  <si>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</si>
  <si>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</si>
  <si>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</si>
  <si>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</si>
  <si>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</si>
  <si>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</si>
  <si>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</si>
  <si>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</si>
  <si>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</si>
  <si>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</si>
  <si>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</si>
  <si>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</si>
  <si>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</si>
  <si>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</si>
  <si>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</si>
  <si>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</si>
  <si>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</si>
  <si>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</si>
  <si>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</si>
  <si>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</si>
  <si>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</si>
  <si>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</si>
  <si>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</si>
  <si>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</si>
  <si>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</si>
  <si>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</si>
  <si>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</si>
  <si>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</si>
  <si>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</si>
  <si>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</si>
  <si>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</si>
  <si>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</si>
  <si>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</si>
  <si>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</si>
  <si>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</si>
  <si>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</si>
  <si>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</si>
  <si>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</si>
  <si>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</si>
  <si>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</si>
  <si>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</si>
  <si>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</si>
  <si>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</si>
  <si>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</si>
  <si>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</si>
  <si>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</si>
  <si>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</si>
  <si>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</si>
  <si>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</si>
  <si>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</si>
  <si>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</si>
  <si>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</si>
  <si>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</si>
  <si>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</si>
  <si>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</si>
  <si>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</si>
  <si>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</si>
  <si>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</si>
  <si>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</si>
  <si>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</si>
  <si>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</si>
  <si>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</si>
  <si>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</si>
  <si>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</si>
  <si>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</si>
  <si>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</si>
  <si>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</si>
  <si>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</si>
  <si>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</si>
  <si>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</si>
  <si>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</si>
  <si>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</si>
  <si>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</si>
  <si>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</si>
  <si>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</si>
  <si>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</si>
  <si>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</si>
  <si>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</si>
  <si>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</si>
  <si>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</si>
  <si>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</si>
  <si>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</si>
  <si>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</si>
  <si>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</si>
  <si>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</si>
  <si>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</si>
  <si>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</si>
  <si>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</si>
  <si>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</si>
  <si>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</si>
  <si>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</si>
  <si>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</si>
  <si>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</si>
  <si>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</si>
  <si>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</si>
  <si>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</si>
  <si>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</si>
  <si>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</si>
  <si>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</si>
  <si>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</si>
  <si>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</si>
  <si>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</si>
  <si>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</si>
  <si>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</si>
  <si>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</si>
  <si>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</si>
  <si>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</si>
  <si>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</si>
  <si>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</si>
  <si>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</si>
  <si>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</si>
  <si>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</si>
  <si>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</si>
  <si>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</si>
  <si>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</si>
  <si>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</si>
  <si>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</si>
  <si>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</si>
  <si>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</si>
  <si>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</si>
  <si>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</si>
  <si>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</si>
  <si>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</si>
  <si>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</si>
  <si>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</si>
  <si>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</si>
  <si>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</si>
  <si>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</si>
  <si>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</si>
  <si>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</si>
  <si>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</si>
  <si>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</si>
  <si>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</si>
  <si>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</si>
  <si>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</si>
  <si>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</si>
  <si>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</si>
  <si>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</si>
  <si>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</si>
  <si>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</si>
  <si>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</si>
  <si>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</si>
  <si>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</si>
  <si>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</si>
  <si>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</si>
  <si>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</si>
  <si>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</si>
  <si>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</si>
  <si>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</si>
  <si>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</si>
  <si>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</si>
  <si>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</si>
  <si>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</si>
  <si>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</si>
  <si>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</si>
  <si>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</si>
  <si>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</si>
  <si>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</si>
  <si>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</si>
  <si>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</si>
  <si>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</si>
  <si>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</si>
  <si>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</si>
  <si>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</si>
  <si>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</si>
  <si>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</si>
  <si>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</si>
  <si>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</si>
  <si>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</si>
  <si>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</si>
  <si>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</si>
  <si>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</si>
  <si>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</si>
  <si>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</si>
  <si>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</si>
  <si>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</si>
  <si>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</si>
  <si>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</si>
  <si>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</si>
  <si>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</si>
  <si>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</si>
  <si>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</si>
  <si>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</si>
  <si>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</si>
  <si>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</si>
  <si>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</si>
  <si>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</si>
  <si>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</si>
  <si>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</si>
  <si>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</si>
  <si>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</si>
  <si>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</si>
  <si>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</si>
  <si>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</si>
  <si>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</si>
  <si>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</si>
  <si>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</si>
  <si>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</si>
  <si>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</si>
  <si>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</si>
  <si>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</si>
  <si>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</si>
  <si>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</si>
  <si>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</si>
  <si>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</si>
  <si>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</si>
  <si>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</si>
  <si>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</si>
  <si>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</si>
  <si>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</si>
  <si>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</si>
  <si>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</si>
  <si>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</si>
  <si>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</si>
  <si>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</si>
  <si>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</si>
  <si>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</si>
  <si>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</si>
  <si>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</si>
  <si>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</si>
  <si>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</si>
  <si>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</si>
  <si>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</si>
  <si>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</si>
  <si>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</si>
  <si>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</si>
  <si>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</si>
  <si>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</si>
  <si>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</si>
  <si>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</si>
  <si>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</si>
  <si>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</si>
  <si>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</si>
  <si>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</si>
  <si>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</si>
  <si>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</si>
  <si>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</si>
  <si>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</si>
  <si>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</si>
  <si>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</si>
  <si>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</si>
  <si>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</si>
  <si>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</si>
  <si>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</si>
  <si>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</si>
  <si>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</si>
  <si>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</si>
  <si>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</si>
  <si>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</si>
  <si>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</si>
  <si>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</si>
  <si>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</si>
  <si>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</si>
  <si>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</si>
  <si>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</si>
  <si>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</si>
  <si>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</si>
  <si>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</si>
  <si>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</si>
  <si>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</si>
  <si>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</si>
  <si>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</si>
  <si>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</si>
  <si>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</si>
  <si>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</si>
  <si>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</si>
  <si>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</si>
  <si>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</si>
  <si>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</si>
  <si>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</si>
  <si>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</si>
  <si>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</si>
  <si>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</si>
  <si>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</si>
  <si>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</si>
  <si>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</si>
  <si>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</si>
  <si>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</si>
  <si>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</si>
  <si>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</si>
  <si>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</si>
  <si>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</si>
  <si>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</si>
  <si>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</si>
  <si>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</si>
  <si>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</si>
  <si>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</si>
  <si>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</si>
  <si>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</si>
  <si>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</si>
  <si>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</si>
  <si>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</si>
  <si>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</si>
  <si>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</si>
  <si>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</si>
  <si>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</si>
  <si>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</si>
  <si>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</si>
  <si>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</si>
  <si>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</si>
  <si>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</si>
  <si>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</si>
  <si>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</si>
  <si>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</si>
  <si>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</si>
  <si>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</si>
  <si>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</si>
  <si>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</si>
  <si>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</si>
  <si>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</si>
  <si>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</si>
  <si>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</si>
  <si>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</si>
  <si>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</si>
  <si>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</si>
  <si>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</si>
  <si>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</si>
  <si>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</si>
  <si>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</si>
  <si>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</si>
  <si>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</si>
  <si>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</si>
  <si>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</si>
  <si>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</si>
  <si>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</si>
  <si>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</si>
  <si>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</si>
  <si>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</si>
  <si>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</si>
  <si>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</si>
  <si>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</si>
  <si>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</si>
  <si>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</si>
  <si>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</si>
  <si>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</si>
  <si>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</si>
  <si>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</si>
  <si>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</si>
  <si>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</si>
  <si>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</si>
  <si>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</si>
  <si>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</si>
  <si>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</si>
  <si>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</si>
  <si>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</si>
  <si>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</si>
  <si>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</si>
  <si>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</si>
  <si>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</si>
  <si>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</si>
  <si>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</si>
  <si>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</si>
  <si>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</si>
  <si>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</si>
  <si>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</si>
  <si>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</si>
  <si>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</si>
  <si>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</si>
  <si>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</si>
  <si>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</si>
  <si>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</si>
  <si>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</si>
  <si>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</si>
  <si>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</si>
  <si>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</si>
  <si>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</si>
  <si>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</si>
  <si>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</si>
  <si>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</si>
  <si>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</si>
  <si>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</si>
  <si>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</si>
  <si>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</si>
  <si>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</si>
  <si>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</si>
  <si>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</si>
  <si>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</si>
  <si>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</si>
  <si>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</si>
  <si>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</si>
  <si>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</si>
  <si>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</si>
  <si>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</si>
  <si>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</si>
  <si>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</si>
  <si>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</si>
  <si>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</si>
  <si>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</si>
  <si>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</si>
  <si>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</si>
  <si>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</si>
  <si>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</si>
  <si>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</si>
  <si>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</si>
  <si>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</si>
  <si>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</si>
  <si>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</si>
  <si>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</si>
  <si>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</si>
  <si>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</si>
  <si>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</si>
  <si>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</si>
  <si>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</si>
  <si>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</si>
  <si>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</si>
  <si>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</si>
  <si>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</si>
  <si>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</si>
  <si>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</si>
  <si>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</si>
  <si>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</si>
  <si>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</si>
  <si>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</si>
  <si>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</si>
  <si>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</si>
  <si>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</si>
  <si>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</si>
  <si>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</si>
  <si>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</si>
  <si>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</si>
  <si>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</si>
  <si>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</si>
  <si>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</si>
  <si>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</si>
  <si>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</si>
  <si>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</si>
  <si>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</si>
  <si>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</si>
  <si>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</si>
  <si>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</si>
  <si>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</si>
  <si>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</si>
  <si>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</si>
  <si>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</si>
  <si>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</si>
  <si>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</si>
  <si>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</si>
  <si>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</si>
  <si>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</si>
  <si>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</si>
  <si>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</si>
  <si>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</si>
  <si>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</si>
  <si>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</si>
  <si>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</si>
  <si>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</si>
  <si>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</si>
  <si>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</si>
  <si>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</si>
  <si>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</si>
  <si>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</si>
  <si>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</si>
  <si>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</si>
  <si>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</si>
  <si>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</si>
  <si>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</si>
  <si>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</si>
  <si>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</si>
  <si>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</si>
  <si>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</si>
  <si>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</si>
  <si>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</si>
  <si>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</si>
  <si>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</si>
  <si>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</si>
  <si>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</si>
  <si>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</si>
  <si>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</si>
  <si>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</si>
  <si>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</si>
  <si>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</si>
  <si>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</si>
  <si>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</si>
  <si>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</si>
  <si>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</si>
  <si>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</si>
  <si>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</si>
  <si>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</si>
  <si>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</si>
  <si>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</si>
  <si>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</si>
  <si>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</si>
  <si>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</si>
  <si>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</si>
  <si>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</si>
  <si>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</si>
  <si>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</si>
  <si>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</si>
  <si>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</si>
  <si>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</si>
  <si>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</si>
  <si>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</si>
  <si>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</si>
  <si>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</si>
  <si>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</si>
  <si>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</si>
  <si>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</si>
  <si>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</si>
  <si>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</si>
  <si>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</si>
  <si>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</si>
  <si>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</si>
  <si>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</si>
  <si>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</si>
  <si>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</si>
  <si>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</si>
  <si>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</si>
  <si>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</si>
  <si>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</si>
  <si>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</si>
  <si>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</si>
  <si>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</si>
  <si>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</si>
  <si>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</si>
  <si>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</si>
  <si>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</si>
  <si>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</si>
  <si>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</si>
  <si>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</si>
  <si>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</si>
  <si>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</si>
  <si>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</si>
  <si>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</si>
  <si>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</si>
  <si>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</si>
  <si>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</si>
  <si>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</si>
  <si>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</si>
  <si>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</si>
  <si>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</si>
  <si>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</si>
  <si>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</si>
  <si>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</si>
  <si>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</si>
  <si>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</si>
  <si>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</si>
  <si>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</si>
  <si>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</si>
  <si>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</si>
  <si>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</si>
  <si>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</si>
  <si>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</si>
  <si>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</si>
  <si>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</si>
  <si>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</si>
  <si>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</si>
  <si>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</si>
  <si>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</si>
  <si>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</si>
  <si>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</si>
  <si>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</si>
  <si>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</si>
  <si>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</si>
  <si>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</si>
  <si>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</si>
  <si>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</si>
  <si>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</si>
  <si>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</si>
  <si>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</si>
  <si>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</si>
  <si>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</si>
  <si>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</si>
  <si>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</si>
  <si>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</si>
  <si>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</si>
  <si>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</si>
  <si>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</si>
  <si>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</si>
  <si>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</si>
  <si>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</si>
  <si>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</si>
  <si>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</si>
  <si>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</si>
  <si>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</si>
  <si>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</si>
  <si>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</si>
  <si>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</si>
  <si>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</si>
  <si>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</si>
  <si>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</si>
  <si>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</si>
  <si>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</si>
  <si>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</si>
  <si>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</si>
  <si>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</si>
  <si>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</si>
  <si>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</si>
  <si>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</si>
  <si>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</si>
  <si>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</si>
  <si>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</si>
  <si>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</si>
  <si>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</si>
  <si>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</si>
  <si>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</si>
  <si>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</si>
  <si>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</si>
  <si>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</si>
  <si>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</si>
  <si>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</si>
  <si>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</si>
  <si>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</si>
  <si>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</si>
  <si>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</si>
  <si>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</si>
  <si>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</si>
  <si>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</si>
  <si>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</si>
  <si>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</si>
  <si>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</si>
  <si>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</si>
  <si>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</si>
  <si>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</si>
  <si>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</si>
  <si>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</si>
  <si>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</si>
  <si>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</si>
  <si>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</si>
  <si>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</si>
  <si>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</si>
  <si>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</si>
  <si>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</si>
  <si>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</si>
  <si>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</si>
  <si>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</si>
  <si>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</si>
  <si>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</si>
  <si>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</si>
  <si>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</si>
  <si>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</si>
  <si>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</si>
  <si>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</si>
  <si>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</si>
  <si>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</si>
  <si>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</si>
  <si>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</si>
  <si>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</si>
  <si>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</si>
  <si>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</si>
  <si>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</si>
  <si>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</si>
  <si>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</si>
  <si>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</si>
  <si>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</si>
  <si>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</si>
  <si>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</si>
  <si>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</si>
  <si>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</si>
  <si>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</si>
  <si>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</si>
  <si>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</si>
  <si>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</si>
  <si>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</si>
  <si>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</si>
  <si>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</si>
  <si>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</si>
  <si>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</si>
  <si>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</si>
  <si>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</si>
  <si>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</si>
  <si>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</si>
  <si>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</si>
  <si>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</si>
  <si>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</si>
  <si>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</si>
  <si>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</si>
  <si>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</si>
  <si>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</si>
  <si>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</si>
  <si>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</si>
  <si>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</si>
  <si>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</si>
  <si>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</si>
  <si>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</si>
  <si>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</si>
  <si>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</si>
  <si>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</si>
  <si>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</si>
  <si>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</si>
  <si>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</si>
  <si>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</si>
  <si>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</si>
  <si>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</si>
  <si>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</si>
  <si>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</si>
  <si>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</si>
  <si>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</si>
  <si>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</si>
  <si>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</si>
  <si>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</si>
  <si>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</si>
  <si>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</si>
  <si>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</si>
  <si>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</si>
  <si>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</si>
  <si>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</si>
  <si>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</si>
  <si>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</si>
  <si>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</si>
  <si>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</si>
  <si>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</si>
  <si>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</si>
  <si>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</si>
  <si>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</si>
  <si>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</si>
  <si>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</si>
  <si>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</si>
  <si>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</si>
  <si>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</si>
  <si>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</si>
  <si>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</si>
  <si>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</si>
  <si>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</si>
  <si>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</si>
  <si>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</si>
  <si>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</si>
  <si>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</si>
  <si>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</si>
  <si>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</si>
  <si>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</si>
  <si>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</si>
  <si>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</si>
  <si>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</si>
  <si>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</si>
  <si>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</si>
  <si>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</si>
  <si>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</si>
  <si>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</si>
  <si>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</si>
  <si>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</si>
  <si>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</si>
  <si>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</si>
  <si>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</si>
  <si>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</si>
  <si>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</si>
  <si>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</si>
  <si>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</si>
  <si>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</si>
  <si>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</si>
  <si>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</si>
  <si>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</si>
  <si>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</si>
  <si>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</si>
  <si>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</si>
  <si>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</si>
  <si>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</si>
  <si>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</si>
  <si>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</si>
  <si>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</si>
  <si>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</si>
  <si>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</si>
  <si>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</si>
  <si>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</si>
  <si>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</si>
  <si>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</si>
  <si>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</si>
  <si>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</si>
  <si>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</si>
  <si>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</si>
  <si>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</si>
  <si>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</si>
  <si>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</si>
  <si>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</si>
  <si>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</si>
  <si>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</si>
  <si>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</si>
  <si>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</si>
  <si>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</si>
  <si>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</si>
  <si>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</si>
  <si>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</si>
  <si>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</si>
  <si>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</si>
  <si>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</si>
  <si>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</si>
  <si>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</si>
  <si>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</si>
  <si>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</si>
  <si>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</si>
  <si>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</si>
  <si>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</si>
  <si>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</si>
  <si>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</si>
  <si>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</si>
  <si>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</si>
  <si>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</si>
  <si>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</si>
  <si>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</si>
  <si>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</si>
  <si>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</si>
  <si>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</si>
  <si>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</si>
  <si>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</si>
  <si>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</si>
  <si>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</si>
  <si>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</si>
  <si>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</si>
  <si>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</si>
  <si>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</si>
  <si>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</si>
  <si>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</si>
  <si>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</si>
  <si>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</si>
  <si>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</si>
  <si>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</si>
  <si>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</si>
  <si>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</si>
  <si>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</si>
  <si>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</si>
  <si>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</si>
  <si>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</si>
  <si>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</si>
  <si>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</si>
  <si>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</si>
  <si>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</si>
  <si>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</si>
  <si>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</si>
  <si>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</si>
  <si>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</si>
  <si>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</si>
  <si>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</si>
  <si>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</si>
  <si>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</si>
  <si>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</si>
  <si>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</si>
  <si>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</si>
  <si>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</si>
  <si>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</si>
  <si>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</si>
  <si>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</si>
  <si>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</si>
  <si>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</si>
  <si>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</si>
  <si>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</si>
  <si>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</si>
  <si>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</si>
  <si>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</si>
  <si>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</si>
  <si>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</si>
  <si>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</si>
  <si>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</si>
  <si>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</si>
  <si>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</si>
  <si>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</si>
  <si>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</si>
  <si>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</si>
  <si>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</si>
  <si>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</si>
  <si>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</si>
  <si>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</si>
  <si>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</si>
  <si>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</si>
  <si>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</si>
  <si>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</si>
  <si>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</si>
  <si>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</si>
  <si>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</si>
  <si>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</si>
  <si>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</si>
  <si>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</si>
  <si>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</si>
  <si>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</si>
  <si>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</si>
  <si>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</si>
  <si>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</si>
  <si>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</si>
  <si>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</si>
  <si>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</si>
  <si>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</si>
  <si>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</si>
  <si>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</si>
  <si>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</si>
  <si>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</si>
  <si>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</si>
  <si>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</si>
  <si>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</si>
  <si>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</si>
  <si>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</si>
  <si>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</si>
  <si>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</si>
  <si>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</si>
  <si>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</si>
  <si>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</si>
  <si>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</si>
  <si>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</si>
  <si>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</si>
  <si>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</si>
  <si>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</si>
  <si>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</si>
  <si>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</si>
  <si>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</si>
  <si>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</si>
  <si>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</si>
  <si>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</si>
  <si>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</si>
  <si>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</si>
  <si>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</si>
  <si>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</si>
  <si>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</si>
  <si>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</si>
  <si>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</si>
  <si>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</si>
  <si>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</si>
  <si>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</si>
  <si>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</si>
  <si>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</si>
  <si>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</si>
  <si>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</si>
  <si>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</si>
  <si>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</si>
  <si>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</si>
  <si>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</si>
  <si>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</si>
  <si>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</si>
  <si>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</si>
  <si>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</si>
  <si>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</si>
  <si>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</si>
  <si>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</si>
  <si>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</si>
  <si>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</si>
  <si>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</si>
  <si>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</si>
  <si>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</si>
  <si>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</si>
  <si>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</si>
  <si>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</si>
  <si>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</si>
  <si>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</si>
  <si>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</si>
  <si>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</si>
  <si>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</si>
  <si>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</si>
  <si>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</si>
  <si>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</si>
  <si>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</si>
  <si>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</si>
  <si>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</si>
  <si>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</si>
  <si>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</si>
  <si>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</si>
  <si>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</si>
  <si>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</si>
  <si>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</si>
  <si>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</si>
  <si>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</si>
  <si>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</si>
  <si>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</si>
  <si>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</si>
  <si>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</si>
  <si>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</si>
  <si>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</si>
  <si>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</si>
  <si>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</si>
  <si>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</si>
  <si>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</si>
  <si>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</si>
  <si>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</si>
  <si>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</si>
  <si>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</si>
  <si>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</si>
  <si>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</si>
  <si>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</si>
  <si>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</si>
  <si>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</si>
  <si>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</si>
  <si>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</si>
  <si>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</si>
  <si>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</si>
  <si>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</si>
  <si>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</si>
  <si>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</si>
  <si>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</si>
  <si>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</si>
  <si>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</si>
  <si>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</si>
  <si>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</si>
  <si>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</si>
  <si>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</si>
  <si>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</si>
  <si>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</si>
  <si>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</si>
  <si>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</si>
  <si>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</si>
  <si>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</si>
  <si>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</si>
  <si>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</si>
  <si>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</si>
  <si>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</si>
  <si>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</si>
  <si>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</si>
  <si>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</si>
  <si>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</si>
  <si>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</si>
  <si>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</si>
  <si>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</si>
  <si>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</si>
  <si>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</si>
  <si>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</si>
  <si>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</si>
  <si>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</si>
  <si>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</si>
  <si>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</si>
  <si>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</si>
  <si>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</si>
  <si>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</si>
  <si>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</si>
  <si>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</si>
  <si>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</si>
  <si>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</si>
  <si>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</si>
  <si>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</si>
  <si>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</si>
  <si>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</si>
  <si>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</si>
  <si>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</si>
  <si>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</si>
  <si>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</si>
  <si>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</si>
  <si>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</si>
  <si>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</si>
  <si>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</si>
  <si>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</si>
  <si>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</si>
  <si>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</si>
  <si>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</si>
  <si>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</si>
  <si>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</si>
  <si>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</si>
  <si>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</si>
  <si>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</si>
  <si>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</si>
  <si>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</si>
  <si>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</si>
  <si>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</si>
  <si>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</si>
  <si>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</si>
  <si>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</si>
  <si>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</si>
  <si>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</si>
  <si>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</si>
  <si>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</si>
  <si>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</si>
  <si>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</si>
  <si>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</si>
  <si>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</si>
  <si>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</si>
  <si>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</si>
  <si>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</si>
  <si>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</si>
  <si>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</si>
  <si>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</si>
  <si>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</si>
  <si>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</si>
  <si>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</si>
  <si>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</si>
  <si>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</si>
  <si>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</si>
  <si>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</si>
  <si>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</si>
  <si>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</si>
  <si>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</si>
  <si>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</si>
  <si>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</si>
  <si>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</si>
  <si>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</si>
  <si>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</si>
  <si>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</si>
  <si>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</si>
  <si>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</si>
  <si>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</si>
  <si>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</si>
  <si>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</si>
  <si>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</si>
  <si>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</si>
  <si>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</si>
  <si>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</si>
  <si>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</si>
  <si>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</si>
  <si>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</si>
  <si>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</si>
  <si>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</si>
  <si>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</si>
  <si>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</si>
  <si>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</si>
  <si>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</si>
  <si>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</si>
  <si>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</si>
  <si>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</si>
  <si>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</si>
  <si>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</si>
  <si>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</si>
  <si>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</si>
  <si>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</si>
  <si>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</si>
  <si>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</si>
  <si>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</si>
  <si>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</si>
  <si>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</si>
  <si>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</si>
  <si>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</si>
  <si>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</si>
  <si>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</si>
  <si>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</si>
  <si>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</si>
  <si>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</si>
  <si>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</si>
  <si>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</si>
  <si>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</si>
  <si>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</si>
  <si>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</si>
  <si>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</si>
  <si>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</si>
  <si>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</si>
  <si>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</si>
  <si>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</si>
  <si>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</si>
  <si>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</si>
  <si>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</si>
  <si>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</si>
  <si>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</si>
  <si>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</si>
  <si>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</si>
  <si>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</si>
  <si>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</si>
  <si>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</si>
  <si>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</si>
  <si>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</si>
  <si>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</si>
  <si>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</si>
  <si>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</si>
  <si>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</si>
  <si>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</si>
  <si>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</si>
  <si>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</si>
  <si>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</si>
  <si>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</si>
  <si>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</si>
  <si>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</si>
  <si>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</si>
  <si>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</si>
  <si>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</si>
  <si>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</si>
  <si>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</si>
  <si>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</si>
  <si>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</si>
  <si>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</si>
  <si>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</si>
  <si>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</si>
  <si>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</si>
  <si>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</si>
  <si>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</si>
  <si>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</si>
  <si>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</si>
  <si>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</si>
  <si>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</si>
  <si>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</si>
  <si>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</si>
  <si>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</si>
  <si>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</si>
  <si>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</si>
  <si>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</si>
  <si>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</si>
  <si>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</si>
  <si>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</si>
  <si>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</si>
  <si>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</si>
  <si>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</si>
  <si>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</si>
  <si>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</si>
  <si>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</si>
  <si>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</si>
  <si>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</si>
  <si>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</si>
  <si>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</si>
  <si>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</si>
  <si>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</si>
  <si>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</si>
  <si>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</si>
  <si>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</si>
  <si>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</si>
  <si>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</si>
  <si>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</si>
  <si>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</si>
  <si>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</si>
  <si>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</si>
  <si>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</si>
  <si>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</si>
  <si>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</si>
  <si>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</si>
  <si>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</si>
  <si>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</si>
  <si>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</si>
  <si>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</si>
  <si>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</si>
  <si>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</si>
  <si>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</si>
  <si>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</si>
  <si>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</si>
  <si>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</si>
  <si>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</si>
  <si>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</si>
  <si>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</si>
  <si>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</si>
  <si>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</si>
  <si>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</si>
  <si>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</si>
  <si>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</si>
  <si>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</si>
  <si>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</si>
  <si>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</si>
  <si>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</si>
  <si>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</si>
  <si>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</si>
  <si>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</si>
  <si>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</si>
  <si>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</si>
  <si>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</si>
  <si>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</si>
  <si>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</si>
  <si>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</si>
  <si>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</si>
  <si>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</si>
  <si>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</si>
  <si>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</si>
  <si>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</si>
  <si>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</si>
  <si>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</si>
  <si>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</si>
  <si>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</si>
  <si>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</si>
  <si>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</si>
  <si>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</si>
  <si>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</si>
  <si>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</si>
  <si>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</si>
  <si>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</si>
  <si>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</si>
  <si>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</si>
  <si>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</si>
  <si>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</si>
  <si>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</si>
  <si>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</si>
  <si>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</si>
  <si>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</si>
  <si>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</si>
  <si>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</si>
  <si>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</si>
  <si>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</si>
  <si>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</si>
  <si>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</si>
  <si>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</si>
  <si>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</si>
  <si>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</si>
  <si>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</si>
  <si>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</si>
  <si>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</si>
  <si>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</si>
  <si>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</si>
  <si>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</si>
  <si>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</si>
  <si>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</si>
  <si>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</si>
  <si>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</si>
  <si>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</si>
  <si>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</si>
  <si>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</si>
  <si>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</si>
  <si>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</si>
  <si>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</si>
  <si>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</si>
  <si>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</si>
  <si>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</si>
  <si>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</si>
  <si>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</si>
  <si>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</si>
  <si>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</si>
  <si>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</si>
  <si>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</si>
  <si>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</si>
  <si>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</si>
  <si>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</si>
  <si>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</si>
  <si>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</si>
  <si>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</si>
  <si>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</si>
  <si>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</si>
  <si>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</si>
  <si>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</si>
  <si>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</si>
  <si>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</si>
  <si>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</si>
  <si>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</si>
  <si>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</si>
  <si>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</si>
  <si>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</si>
  <si>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</si>
  <si>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</si>
  <si>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</si>
  <si>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</si>
  <si>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</si>
  <si>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</si>
  <si>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</si>
  <si>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</si>
  <si>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</si>
  <si>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</si>
  <si>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</si>
  <si>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</si>
  <si>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</si>
  <si>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</si>
  <si>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</si>
  <si>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</si>
  <si>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</si>
  <si>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</si>
  <si>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</si>
  <si>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</si>
  <si>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</si>
  <si>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</si>
  <si>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</si>
  <si>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</si>
  <si>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</si>
  <si>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</si>
  <si>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</si>
  <si>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</si>
  <si>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</si>
  <si>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</si>
  <si>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</si>
  <si>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</si>
  <si>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</si>
  <si>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</si>
  <si>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</si>
  <si>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</si>
  <si>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</si>
  <si>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</si>
  <si>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</si>
  <si>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</si>
  <si>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</si>
  <si>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</si>
  <si>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</si>
  <si>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</si>
  <si>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</si>
  <si>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</si>
  <si>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</si>
  <si>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</si>
  <si>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</si>
  <si>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</si>
  <si>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</si>
  <si>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</si>
  <si>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</si>
  <si>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</si>
  <si>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</si>
  <si>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</si>
  <si>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</si>
  <si>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</si>
  <si>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</si>
  <si>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</si>
  <si>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</si>
  <si>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</si>
  <si>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</si>
  <si>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</si>
  <si>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</si>
  <si>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</si>
  <si>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</si>
  <si>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</si>
  <si>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</si>
  <si>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</si>
  <si>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</si>
  <si>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</si>
  <si>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</si>
  <si>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</si>
  <si>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</si>
  <si>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</si>
  <si>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</si>
  <si>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</si>
  <si>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</si>
  <si>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</si>
  <si>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</si>
  <si>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</si>
  <si>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</si>
  <si>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</si>
  <si>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</si>
  <si>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</si>
  <si>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</si>
  <si>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</si>
  <si>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</si>
  <si>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</si>
  <si>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</si>
  <si>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</si>
  <si>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</si>
  <si>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</si>
  <si>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</si>
  <si>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</si>
  <si>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</si>
  <si>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</si>
  <si>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</si>
  <si>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</si>
  <si>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</si>
  <si>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</si>
  <si>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</si>
  <si>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</si>
  <si>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</si>
  <si>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</si>
  <si>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</si>
  <si>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</si>
  <si>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</si>
  <si>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</si>
  <si>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</si>
  <si>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</si>
  <si>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</si>
  <si>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</si>
  <si>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</si>
  <si>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</si>
  <si>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</si>
  <si>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</si>
  <si>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</si>
  <si>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</si>
  <si>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</si>
  <si>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</si>
  <si>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</si>
  <si>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</si>
  <si>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</si>
  <si>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</si>
  <si>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</si>
  <si>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</si>
  <si>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</si>
  <si>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</si>
  <si>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</si>
  <si>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</si>
  <si>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</si>
  <si>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</si>
  <si>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</si>
  <si>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</si>
  <si>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</si>
  <si>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</si>
  <si>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</si>
  <si>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</si>
  <si>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</si>
  <si>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</si>
  <si>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</si>
  <si>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</si>
  <si>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</si>
  <si>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</si>
  <si>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</si>
  <si>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</si>
  <si>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</si>
  <si>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</si>
  <si>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</si>
  <si>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</si>
  <si>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</si>
  <si>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</si>
  <si>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</si>
  <si>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</si>
  <si>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</si>
  <si>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</si>
  <si>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</si>
  <si>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</si>
  <si>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</si>
  <si>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</si>
  <si>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</si>
  <si>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</si>
  <si>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</si>
  <si>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</si>
  <si>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</si>
  <si>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</si>
  <si>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</si>
  <si>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</si>
  <si>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</si>
  <si>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</si>
  <si>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</si>
  <si>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</si>
  <si>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</si>
  <si>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</si>
  <si>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</si>
  <si>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</si>
  <si>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</si>
  <si>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</si>
  <si>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</si>
  <si>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</si>
  <si>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</si>
  <si>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</si>
  <si>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</si>
  <si>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</si>
  <si>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</si>
  <si>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</si>
  <si>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</si>
  <si>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</si>
  <si>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</si>
  <si>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</si>
  <si>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</si>
  <si>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</si>
  <si>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</si>
  <si>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</si>
  <si>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</si>
  <si>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</si>
  <si>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</si>
  <si>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</si>
  <si>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</si>
  <si>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</si>
  <si>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</si>
  <si>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</si>
  <si>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</si>
  <si>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</si>
  <si>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</si>
  <si>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</si>
  <si>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</si>
  <si>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</si>
  <si>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</si>
  <si>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</si>
  <si>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</si>
  <si>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</si>
  <si>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</si>
  <si>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</si>
  <si>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</si>
  <si>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</si>
  <si>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</si>
  <si>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</si>
  <si>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</si>
  <si>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</si>
  <si>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</si>
  <si>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</si>
  <si>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</si>
  <si>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</si>
  <si>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</si>
  <si>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</si>
  <si>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</si>
  <si>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</si>
  <si>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</si>
  <si>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</si>
  <si>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</si>
  <si>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</si>
  <si>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</si>
  <si>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</si>
  <si>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</si>
  <si>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</si>
  <si>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</si>
  <si>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</si>
  <si>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</si>
  <si>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</si>
  <si>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</si>
  <si>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</si>
  <si>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</si>
  <si>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</si>
  <si>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</si>
  <si>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</si>
  <si>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</si>
  <si>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</si>
  <si>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</si>
  <si>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</si>
  <si>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</si>
  <si>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</si>
  <si>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</si>
  <si>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</si>
  <si>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</si>
  <si>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</si>
  <si>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</si>
  <si>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</si>
  <si>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</si>
  <si>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</si>
  <si>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</si>
  <si>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</si>
  <si>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</si>
  <si>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</si>
  <si>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</si>
  <si>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</si>
  <si>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</si>
  <si>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</si>
  <si>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</si>
  <si>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</si>
  <si>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</si>
  <si>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</si>
  <si>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</si>
  <si>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</si>
  <si>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</si>
  <si>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</si>
  <si>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</si>
  <si>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</si>
  <si>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</si>
  <si>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</si>
  <si>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</si>
  <si>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</si>
  <si>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</si>
  <si>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</si>
  <si>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</si>
  <si>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</si>
  <si>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</si>
  <si>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</si>
  <si>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</si>
  <si>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</si>
  <si>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</si>
  <si>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</si>
  <si>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</si>
  <si>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</si>
  <si>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</si>
  <si>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</si>
  <si>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</si>
  <si>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</si>
  <si>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</si>
  <si>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</si>
  <si>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</si>
  <si>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</si>
  <si>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</si>
  <si>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</si>
  <si>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</si>
  <si>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</si>
  <si>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</si>
  <si>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</si>
  <si>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</si>
  <si>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</si>
  <si>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</si>
  <si>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</si>
  <si>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</si>
  <si>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</si>
  <si>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</si>
  <si>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</si>
  <si>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</si>
  <si>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</si>
  <si>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</si>
  <si>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</si>
  <si>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</si>
  <si>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</si>
  <si>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</si>
  <si>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</si>
  <si>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</si>
  <si>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</si>
  <si>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</si>
  <si>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</si>
  <si>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</si>
  <si>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</si>
  <si>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</si>
  <si>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</si>
  <si>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</si>
  <si>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</si>
  <si>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</si>
  <si>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</si>
  <si>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</si>
  <si>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</si>
  <si>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</si>
  <si>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</si>
  <si>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</si>
  <si>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</si>
  <si>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</si>
  <si>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</si>
  <si>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</si>
  <si>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</si>
  <si>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</si>
  <si>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</si>
  <si>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</si>
  <si>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</si>
  <si>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</si>
  <si>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</si>
  <si>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</si>
  <si>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</si>
  <si>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</si>
  <si>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</si>
  <si>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</si>
  <si>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</si>
  <si>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</si>
  <si>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</si>
  <si>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</si>
  <si>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</si>
  <si>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</si>
  <si>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</si>
  <si>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</si>
  <si>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</si>
  <si>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</si>
  <si>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</si>
  <si>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</si>
  <si>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</si>
  <si>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</si>
  <si>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</si>
  <si>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</si>
  <si>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</si>
  <si>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</si>
  <si>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</si>
  <si>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</si>
  <si>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</si>
  <si>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</si>
  <si>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</si>
  <si>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</si>
  <si>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</si>
  <si>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</si>
  <si>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</si>
  <si>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</si>
  <si>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</si>
  <si>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</si>
  <si>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</si>
  <si>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</si>
  <si>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</si>
  <si>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</si>
  <si>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</si>
  <si>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</si>
  <si>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</si>
  <si>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</si>
  <si>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</si>
  <si>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</si>
  <si>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</si>
  <si>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</si>
  <si>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</si>
  <si>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</si>
  <si>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</si>
  <si>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</si>
  <si>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</si>
  <si>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</si>
  <si>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</si>
  <si>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</si>
  <si>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</si>
  <si>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</si>
  <si>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</si>
  <si>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</si>
  <si>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</si>
  <si>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</si>
  <si>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</si>
  <si>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</si>
  <si>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</si>
  <si>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</si>
  <si>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</si>
  <si>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</si>
  <si>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</si>
  <si>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</si>
  <si>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</si>
  <si>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</si>
  <si>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</si>
  <si>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</si>
  <si>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</si>
  <si>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</si>
  <si>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</si>
  <si>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</si>
  <si>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</si>
  <si>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</si>
  <si>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</si>
  <si>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</si>
  <si>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</si>
  <si>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</si>
  <si>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</si>
  <si>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</si>
  <si>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</si>
  <si>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</si>
  <si>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</si>
  <si>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</si>
  <si>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</si>
  <si>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</si>
  <si>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</si>
  <si>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</si>
  <si>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</si>
  <si>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</si>
  <si>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</si>
  <si>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</si>
  <si>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</si>
  <si>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</si>
  <si>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</si>
  <si>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</si>
  <si>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</si>
  <si>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</si>
  <si>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</si>
  <si>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</si>
  <si>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</si>
  <si>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</si>
  <si>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</si>
  <si>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</si>
  <si>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</si>
  <si>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</si>
  <si>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</si>
  <si>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</si>
  <si>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</si>
  <si>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</si>
  <si>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</si>
  <si>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</si>
  <si>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</si>
  <si>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</si>
  <si>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</si>
  <si>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</si>
  <si>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</si>
  <si>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</si>
  <si>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</si>
  <si>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</si>
  <si>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</si>
  <si>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</si>
  <si>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</si>
  <si>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</si>
  <si>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</si>
  <si>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</si>
  <si>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</si>
  <si>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</si>
  <si>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</si>
  <si>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</si>
  <si>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</si>
  <si>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</si>
  <si>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</si>
  <si>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</si>
  <si>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</si>
  <si>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</si>
  <si>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</si>
  <si>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</si>
  <si>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</si>
  <si>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</si>
  <si>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</si>
  <si>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</si>
  <si>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</si>
  <si>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</si>
  <si>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</si>
  <si>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</si>
  <si>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</si>
  <si>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</si>
  <si>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</si>
  <si>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</si>
  <si>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</si>
  <si>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</si>
  <si>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</si>
  <si>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</si>
  <si>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</si>
  <si>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</si>
  <si>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</si>
  <si>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</si>
  <si>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</si>
  <si>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</si>
  <si>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</si>
  <si>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</si>
  <si>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</si>
  <si>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</si>
  <si>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</si>
  <si>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</si>
  <si>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</si>
  <si>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</si>
  <si>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</si>
  <si>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</si>
  <si>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</si>
  <si>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</si>
  <si>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</si>
  <si>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</si>
  <si>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</si>
  <si>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</si>
  <si>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</si>
  <si>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</si>
  <si>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</si>
  <si>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</si>
  <si>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</si>
  <si>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</si>
  <si>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</si>
  <si>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</si>
  <si>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</si>
  <si>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</si>
  <si>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</si>
  <si>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</si>
  <si>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</si>
  <si>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</si>
  <si>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</si>
  <si>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</si>
  <si>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</si>
  <si>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</si>
  <si>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</si>
  <si>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</si>
  <si>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</si>
  <si>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</si>
  <si>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</si>
  <si>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</si>
  <si>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</si>
  <si>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</si>
  <si>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</si>
  <si>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</si>
  <si>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</si>
  <si>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</si>
  <si>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</si>
  <si>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</si>
  <si>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</si>
  <si>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</si>
  <si>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</si>
  <si>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</si>
  <si>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</si>
  <si>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</si>
  <si>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</si>
  <si>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</si>
  <si>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</si>
  <si>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</si>
  <si>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</si>
  <si>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</si>
  <si>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</si>
  <si>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</si>
  <si>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</si>
  <si>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</si>
  <si>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</si>
  <si>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</si>
  <si>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</si>
  <si>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</si>
  <si>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</si>
  <si>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</si>
  <si>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</si>
  <si>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</si>
  <si>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</si>
  <si>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</si>
  <si>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</si>
  <si>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</si>
  <si>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</si>
  <si>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</si>
  <si>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</si>
  <si>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</si>
  <si>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</si>
  <si>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</si>
  <si>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</si>
  <si>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</si>
  <si>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</si>
  <si>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</si>
  <si>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</si>
  <si>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</si>
  <si>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</si>
  <si>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</si>
  <si>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</si>
  <si>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</si>
  <si>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</si>
  <si>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</si>
  <si>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</si>
  <si>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</si>
  <si>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</si>
  <si>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</si>
  <si>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</si>
  <si>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</si>
  <si>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</si>
  <si>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</si>
  <si>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</si>
  <si>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</si>
  <si>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</si>
  <si>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</si>
  <si>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</si>
  <si>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</si>
  <si>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</si>
  <si>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</si>
  <si>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</si>
  <si>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</si>
  <si>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</si>
  <si>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</si>
  <si>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</si>
  <si>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</si>
  <si>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</si>
  <si>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</si>
  <si>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</si>
  <si>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</si>
  <si>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</si>
  <si>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</si>
  <si>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</si>
  <si>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</si>
  <si>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</si>
  <si>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</si>
  <si>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</si>
  <si>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</si>
  <si>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</si>
  <si>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</si>
  <si>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</si>
  <si>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</si>
  <si>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</si>
  <si>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</si>
  <si>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</si>
  <si>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</si>
  <si>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</si>
  <si>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</si>
  <si>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</si>
  <si>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</si>
  <si>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</si>
  <si>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</si>
  <si>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</si>
  <si>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</si>
  <si>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</si>
  <si>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</si>
  <si>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</si>
  <si>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</si>
  <si>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</si>
  <si>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</si>
  <si>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</si>
  <si>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</si>
  <si>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</si>
  <si>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</si>
  <si>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</si>
  <si>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</si>
  <si>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</si>
  <si>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</si>
  <si>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</si>
  <si>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</si>
  <si>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</si>
  <si>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</si>
  <si>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</si>
  <si>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</si>
  <si>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</si>
  <si>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</si>
  <si>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</si>
  <si>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</si>
  <si>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</si>
  <si>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</si>
  <si>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</si>
  <si>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</si>
  <si>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</si>
  <si>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</si>
  <si>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</si>
  <si>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</si>
  <si>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</si>
  <si>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</si>
  <si>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</si>
  <si>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</si>
  <si>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</si>
  <si>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</si>
  <si>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</si>
  <si>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</si>
  <si>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</si>
  <si>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</si>
  <si>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</si>
  <si>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</si>
  <si>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</si>
  <si>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</si>
  <si>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</si>
  <si>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</si>
  <si>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</si>
  <si>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</si>
  <si>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</si>
  <si>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</si>
  <si>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</si>
  <si>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</si>
  <si>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</si>
  <si>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</si>
  <si>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</si>
  <si>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</si>
  <si>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</si>
  <si>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</si>
  <si>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</si>
  <si>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</si>
  <si>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</si>
  <si>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</si>
  <si>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</si>
  <si>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</si>
  <si>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</si>
  <si>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</si>
  <si>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</si>
  <si>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</si>
  <si>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</si>
  <si>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</si>
  <si>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</si>
  <si>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</si>
  <si>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</si>
  <si>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</si>
  <si>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</si>
  <si>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</si>
  <si>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</si>
  <si>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</si>
  <si>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</si>
  <si>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</si>
  <si>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</si>
  <si>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</si>
  <si>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</si>
  <si>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</si>
  <si>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</si>
  <si>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</si>
  <si>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</si>
  <si>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</si>
  <si>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</si>
  <si>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</si>
  <si>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</si>
  <si>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</si>
  <si>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</si>
  <si>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</si>
  <si>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</si>
  <si>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</si>
  <si>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</si>
  <si>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</si>
  <si>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</si>
  <si>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</si>
  <si>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</si>
  <si>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</si>
  <si>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</si>
  <si>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</si>
  <si>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</si>
  <si>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</si>
  <si>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</si>
  <si>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</si>
  <si>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</si>
  <si>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</si>
  <si>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</si>
  <si>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</si>
  <si>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</si>
  <si>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</si>
  <si>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</si>
  <si>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</si>
  <si>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</si>
  <si>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</si>
  <si>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</si>
  <si>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</si>
  <si>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</si>
  <si>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</si>
  <si>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</si>
  <si>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</si>
  <si>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</si>
  <si>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Connection Technology Center</t>
  </si>
  <si>
    <t>Vibration Analysis Hardware</t>
  </si>
  <si>
    <t>7939 Rae Blvd. Victor NY 14534 USA</t>
  </si>
  <si>
    <t>Marie Kuzara</t>
  </si>
  <si>
    <t>sales@ctconline.com</t>
  </si>
  <si>
    <t>585-924-5900</t>
  </si>
  <si>
    <t>100%</t>
  </si>
  <si>
    <t>HC Starck GmbH</t>
  </si>
  <si>
    <t>CID000683</t>
  </si>
  <si>
    <t>CFSI</t>
  </si>
  <si>
    <t>Regulatory Affairs and Quality Assurance Engineer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</si>
</sst>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2380071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1812116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les@ctconlin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ales@ctconlin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12"/>
      <c r="B2" s="5" t="s">
        <v>818</v>
      </c>
      <c r="C2" s="3"/>
      <c r="D2" s="175"/>
      <c r="E2" s="3"/>
      <c r="F2" s="3"/>
      <c r="G2" s="25"/>
    </row>
    <row r="3" spans="1:7">
      <c r="A3" s="312"/>
      <c r="B3" s="3" t="s">
        <v>811</v>
      </c>
      <c r="C3" s="5"/>
      <c r="D3" s="176"/>
      <c r="E3" s="3"/>
      <c r="F3" s="5"/>
      <c r="G3" s="25"/>
    </row>
    <row r="4" spans="1:7" ht="15">
      <c r="A4" s="312"/>
      <c r="B4" s="30" t="s">
        <v>820</v>
      </c>
      <c r="C4" s="6"/>
      <c r="D4" s="177"/>
      <c r="E4" s="3"/>
      <c r="F4" s="6"/>
      <c r="G4" s="25"/>
    </row>
    <row r="5" spans="1:7" ht="13.2">
      <c r="A5" s="312"/>
      <c r="B5" s="29" t="s">
        <v>1009</v>
      </c>
      <c r="C5" s="4"/>
      <c r="D5" s="178"/>
      <c r="E5" s="3"/>
      <c r="F5" s="4"/>
      <c r="G5" s="25"/>
    </row>
    <row r="6" spans="1:7">
      <c r="A6" s="312"/>
      <c r="B6" s="3"/>
      <c r="C6" s="3"/>
      <c r="D6" s="175"/>
      <c r="E6" s="3"/>
      <c r="F6" s="3"/>
      <c r="G6" s="25"/>
    </row>
    <row r="7" spans="1:7">
      <c r="A7" s="312"/>
      <c r="B7" s="3"/>
      <c r="C7" s="3"/>
      <c r="D7" s="175"/>
      <c r="E7" s="3"/>
      <c r="F7" s="3"/>
      <c r="G7" s="25"/>
    </row>
    <row r="8" spans="1:7">
      <c r="A8" s="312"/>
      <c r="B8" s="3"/>
      <c r="C8" s="3"/>
      <c r="D8" s="175"/>
      <c r="E8" s="3"/>
      <c r="F8" s="3"/>
      <c r="G8" s="25"/>
    </row>
    <row r="9" spans="1:7">
      <c r="A9" s="312"/>
      <c r="B9" s="315" t="s">
        <v>821</v>
      </c>
      <c r="C9" s="315"/>
      <c r="D9" s="315"/>
      <c r="E9" s="315"/>
      <c r="F9" s="315"/>
      <c r="G9" s="25"/>
    </row>
    <row r="10" spans="1:7" ht="27" customHeight="1">
      <c r="A10" s="312"/>
      <c r="B10" s="316" t="s">
        <v>425</v>
      </c>
      <c r="C10" s="316"/>
      <c r="D10" s="316"/>
      <c r="E10" s="316"/>
      <c r="F10" s="316"/>
      <c r="G10" s="25"/>
    </row>
    <row r="11" spans="1:7" ht="27" customHeight="1">
      <c r="A11" s="312"/>
      <c r="B11" s="317"/>
      <c r="C11" s="317"/>
      <c r="D11" s="317"/>
      <c r="E11" s="317"/>
      <c r="F11" s="317"/>
      <c r="G11" s="25"/>
    </row>
    <row r="12" spans="1:7">
      <c r="A12" s="312"/>
      <c r="B12" s="31" t="s">
        <v>819</v>
      </c>
      <c r="C12" s="32" t="s">
        <v>822</v>
      </c>
      <c r="D12" s="179" t="s">
        <v>823</v>
      </c>
      <c r="E12" s="32" t="s">
        <v>595</v>
      </c>
      <c r="F12" s="32" t="s">
        <v>596</v>
      </c>
      <c r="G12" s="25"/>
    </row>
    <row r="13" spans="1:7" ht="20.399999999999999">
      <c r="A13" s="312"/>
      <c r="B13" s="2">
        <v>1</v>
      </c>
      <c r="C13" s="27" t="s">
        <v>1057</v>
      </c>
      <c r="D13" s="28" t="s">
        <v>847</v>
      </c>
      <c r="E13" s="163" t="s">
        <v>824</v>
      </c>
      <c r="F13" s="163"/>
      <c r="G13" s="25"/>
    </row>
    <row r="14" spans="1:7" ht="30.6">
      <c r="A14" s="312"/>
      <c r="B14" s="2">
        <v>2</v>
      </c>
      <c r="C14" s="27" t="s">
        <v>1057</v>
      </c>
      <c r="D14" s="28" t="s">
        <v>994</v>
      </c>
      <c r="E14" s="163" t="s">
        <v>515</v>
      </c>
      <c r="F14" s="163" t="s">
        <v>516</v>
      </c>
      <c r="G14" s="25"/>
    </row>
    <row r="15" spans="1:7" ht="89.1" customHeight="1">
      <c r="A15" s="312"/>
      <c r="B15" s="297">
        <v>2.0099999999999998</v>
      </c>
      <c r="C15" s="309" t="s">
        <v>1057</v>
      </c>
      <c r="D15" s="318" t="s">
        <v>2198</v>
      </c>
      <c r="E15" s="164" t="s">
        <v>597</v>
      </c>
      <c r="F15" s="164" t="s">
        <v>600</v>
      </c>
      <c r="G15" s="25"/>
    </row>
    <row r="16" spans="1:7" ht="99" customHeight="1">
      <c r="A16" s="312"/>
      <c r="B16" s="298"/>
      <c r="C16" s="310"/>
      <c r="D16" s="319"/>
      <c r="E16" s="165"/>
      <c r="F16" s="165" t="s">
        <v>598</v>
      </c>
      <c r="G16" s="25"/>
    </row>
    <row r="17" spans="1:7" ht="63" customHeight="1">
      <c r="A17" s="312"/>
      <c r="B17" s="299"/>
      <c r="C17" s="311"/>
      <c r="D17" s="320"/>
      <c r="E17" s="27"/>
      <c r="F17" s="27" t="s">
        <v>599</v>
      </c>
      <c r="G17" s="25"/>
    </row>
    <row r="18" spans="1:7" ht="117" customHeight="1">
      <c r="A18" s="312"/>
      <c r="B18" s="297">
        <v>2.02</v>
      </c>
      <c r="C18" s="309" t="s">
        <v>1057</v>
      </c>
      <c r="D18" s="318" t="s">
        <v>2199</v>
      </c>
      <c r="E18" s="164" t="s">
        <v>426</v>
      </c>
      <c r="F18" s="164" t="s">
        <v>510</v>
      </c>
      <c r="G18" s="25"/>
    </row>
    <row r="19" spans="1:7" ht="71.099999999999994" customHeight="1">
      <c r="A19" s="312"/>
      <c r="B19" s="298"/>
      <c r="C19" s="310"/>
      <c r="D19" s="319"/>
      <c r="E19" s="165" t="s">
        <v>514</v>
      </c>
      <c r="F19" s="165" t="s">
        <v>427</v>
      </c>
      <c r="G19" s="25"/>
    </row>
    <row r="20" spans="1:7" ht="90.75" customHeight="1">
      <c r="A20" s="312"/>
      <c r="B20" s="298"/>
      <c r="C20" s="310"/>
      <c r="D20" s="319"/>
      <c r="E20" s="165"/>
      <c r="F20" s="165" t="s">
        <v>602</v>
      </c>
      <c r="G20" s="25"/>
    </row>
    <row r="21" spans="1:7" ht="74.25" customHeight="1">
      <c r="A21" s="312"/>
      <c r="B21" s="299"/>
      <c r="C21" s="311"/>
      <c r="D21" s="320"/>
      <c r="E21" s="27"/>
      <c r="F21" s="27" t="s">
        <v>601</v>
      </c>
      <c r="G21" s="25"/>
    </row>
    <row r="22" spans="1:7" ht="90" customHeight="1">
      <c r="A22" s="312"/>
      <c r="B22" s="303">
        <v>2.0299999999999998</v>
      </c>
      <c r="C22" s="303" t="s">
        <v>794</v>
      </c>
      <c r="D22" s="306" t="s">
        <v>2200</v>
      </c>
      <c r="E22" s="309" t="s">
        <v>424</v>
      </c>
      <c r="F22" s="164" t="s">
        <v>447</v>
      </c>
      <c r="G22" s="25"/>
    </row>
    <row r="23" spans="1:7" ht="109.5" customHeight="1">
      <c r="A23" s="312"/>
      <c r="B23" s="304"/>
      <c r="C23" s="304"/>
      <c r="D23" s="307"/>
      <c r="E23" s="310"/>
      <c r="F23" s="165" t="s">
        <v>795</v>
      </c>
      <c r="G23" s="25"/>
    </row>
    <row r="24" spans="1:7" ht="74.25" customHeight="1">
      <c r="A24" s="312"/>
      <c r="B24" s="305"/>
      <c r="C24" s="305"/>
      <c r="D24" s="308"/>
      <c r="E24" s="311"/>
      <c r="F24" s="27" t="s">
        <v>423</v>
      </c>
      <c r="G24" s="25"/>
    </row>
    <row r="25" spans="1:7" ht="72" customHeight="1">
      <c r="A25" s="312"/>
      <c r="B25" s="2" t="s">
        <v>445</v>
      </c>
      <c r="C25" s="27" t="s">
        <v>446</v>
      </c>
      <c r="D25" s="28" t="s">
        <v>2201</v>
      </c>
      <c r="E25" s="27" t="s">
        <v>2196</v>
      </c>
      <c r="F25" s="27" t="s">
        <v>448</v>
      </c>
      <c r="G25" s="25"/>
    </row>
    <row r="26" spans="1:7" ht="98.1" customHeight="1">
      <c r="A26" s="312"/>
      <c r="B26" s="300">
        <v>3</v>
      </c>
      <c r="C26" s="297" t="s">
        <v>66</v>
      </c>
      <c r="D26" s="318" t="s">
        <v>2202</v>
      </c>
      <c r="E26" s="309" t="s">
        <v>0</v>
      </c>
      <c r="F26" s="164" t="s">
        <v>60</v>
      </c>
      <c r="G26" s="25"/>
    </row>
    <row r="27" spans="1:7" ht="90" customHeight="1">
      <c r="A27" s="312"/>
      <c r="B27" s="301"/>
      <c r="C27" s="298"/>
      <c r="D27" s="319"/>
      <c r="E27" s="310"/>
      <c r="F27" s="165" t="s">
        <v>55</v>
      </c>
      <c r="G27" s="25"/>
    </row>
    <row r="28" spans="1:7" ht="19.350000000000001" customHeight="1">
      <c r="A28" s="312"/>
      <c r="B28" s="301"/>
      <c r="C28" s="298"/>
      <c r="D28" s="319"/>
      <c r="E28" s="310"/>
      <c r="F28" s="165" t="s">
        <v>56</v>
      </c>
      <c r="G28" s="25"/>
    </row>
    <row r="29" spans="1:7" ht="74.55" customHeight="1">
      <c r="A29" s="312"/>
      <c r="B29" s="301"/>
      <c r="C29" s="298"/>
      <c r="D29" s="319"/>
      <c r="E29" s="310"/>
      <c r="F29" s="165" t="s">
        <v>57</v>
      </c>
      <c r="G29" s="25"/>
    </row>
    <row r="30" spans="1:7" ht="62.55" customHeight="1">
      <c r="A30" s="312"/>
      <c r="B30" s="301"/>
      <c r="C30" s="298"/>
      <c r="D30" s="319"/>
      <c r="E30" s="310"/>
      <c r="F30" s="165" t="s">
        <v>58</v>
      </c>
      <c r="G30" s="25"/>
    </row>
    <row r="31" spans="1:7" ht="81" customHeight="1">
      <c r="A31" s="312"/>
      <c r="B31" s="301"/>
      <c r="C31" s="298"/>
      <c r="D31" s="319"/>
      <c r="E31" s="310"/>
      <c r="F31" s="165" t="s">
        <v>59</v>
      </c>
      <c r="G31" s="25"/>
    </row>
    <row r="32" spans="1:7" ht="48.75" customHeight="1">
      <c r="A32" s="312"/>
      <c r="B32" s="301"/>
      <c r="C32" s="298"/>
      <c r="D32" s="319"/>
      <c r="E32" s="310"/>
      <c r="F32" s="165" t="s">
        <v>62</v>
      </c>
      <c r="G32" s="25"/>
    </row>
    <row r="33" spans="1:7" ht="98.55" customHeight="1">
      <c r="A33" s="312"/>
      <c r="B33" s="301"/>
      <c r="C33" s="298"/>
      <c r="D33" s="319"/>
      <c r="E33" s="310"/>
      <c r="F33" s="165" t="s">
        <v>61</v>
      </c>
      <c r="G33" s="25"/>
    </row>
    <row r="34" spans="1:7" ht="89.1" customHeight="1">
      <c r="A34" s="312"/>
      <c r="B34" s="301"/>
      <c r="C34" s="298"/>
      <c r="D34" s="319"/>
      <c r="E34" s="310"/>
      <c r="F34" s="165" t="s">
        <v>63</v>
      </c>
      <c r="G34" s="25"/>
    </row>
    <row r="35" spans="1:7" ht="29.1" customHeight="1">
      <c r="A35" s="312"/>
      <c r="B35" s="301"/>
      <c r="C35" s="298"/>
      <c r="D35" s="319"/>
      <c r="E35" s="310"/>
      <c r="F35" s="165" t="s">
        <v>64</v>
      </c>
      <c r="G35" s="25"/>
    </row>
    <row r="36" spans="1:7" ht="112.2">
      <c r="A36" s="312"/>
      <c r="B36" s="302"/>
      <c r="C36" s="299"/>
      <c r="D36" s="320"/>
      <c r="E36" s="311"/>
      <c r="F36" s="166" t="s">
        <v>65</v>
      </c>
      <c r="G36" s="25"/>
    </row>
    <row r="37" spans="1:7" ht="102">
      <c r="A37" s="312"/>
      <c r="B37" s="141">
        <v>3.01</v>
      </c>
      <c r="C37" s="142" t="s">
        <v>66</v>
      </c>
      <c r="D37" s="28" t="s">
        <v>2203</v>
      </c>
      <c r="E37" s="167" t="s">
        <v>1294</v>
      </c>
      <c r="F37" s="168" t="s">
        <v>1396</v>
      </c>
      <c r="G37" s="25"/>
    </row>
    <row r="38" spans="1:7" ht="81.599999999999994">
      <c r="A38" s="312"/>
      <c r="B38" s="141">
        <v>3.02</v>
      </c>
      <c r="C38" s="142" t="s">
        <v>1326</v>
      </c>
      <c r="D38" s="28" t="s">
        <v>2204</v>
      </c>
      <c r="E38" s="167" t="s">
        <v>1341</v>
      </c>
      <c r="F38" s="168" t="s">
        <v>1397</v>
      </c>
      <c r="G38" s="25"/>
    </row>
    <row r="39" spans="1:7" ht="81.599999999999994">
      <c r="A39" s="312"/>
      <c r="B39" s="150">
        <v>4</v>
      </c>
      <c r="C39" s="149" t="s">
        <v>1492</v>
      </c>
      <c r="D39" s="28" t="s">
        <v>2205</v>
      </c>
      <c r="E39" s="27" t="s">
        <v>2151</v>
      </c>
      <c r="F39" s="27" t="s">
        <v>1493</v>
      </c>
      <c r="G39" s="25"/>
    </row>
    <row r="40" spans="1:7" ht="40.799999999999997">
      <c r="A40" s="312"/>
      <c r="B40" s="141">
        <v>4.01</v>
      </c>
      <c r="C40" s="149" t="s">
        <v>1492</v>
      </c>
      <c r="D40" s="28" t="s">
        <v>2207</v>
      </c>
      <c r="E40" s="27" t="s">
        <v>2163</v>
      </c>
      <c r="F40" s="27" t="s">
        <v>2167</v>
      </c>
      <c r="G40" s="25"/>
    </row>
    <row r="41" spans="1:7" ht="40.799999999999997">
      <c r="A41" s="312"/>
      <c r="B41" s="141" t="s">
        <v>2194</v>
      </c>
      <c r="C41" s="149" t="s">
        <v>1492</v>
      </c>
      <c r="D41" s="28" t="s">
        <v>2206</v>
      </c>
      <c r="E41" s="27" t="s">
        <v>2197</v>
      </c>
      <c r="F41" s="27" t="s">
        <v>2195</v>
      </c>
      <c r="G41" s="25"/>
    </row>
    <row r="42" spans="1:7" ht="40.799999999999997">
      <c r="A42" s="312"/>
      <c r="B42" s="141" t="s">
        <v>2228</v>
      </c>
      <c r="C42" s="149" t="s">
        <v>1492</v>
      </c>
      <c r="D42" s="28" t="s">
        <v>2233</v>
      </c>
      <c r="E42" s="27" t="s">
        <v>2196</v>
      </c>
      <c r="F42" s="27" t="s">
        <v>2229</v>
      </c>
      <c r="G42" s="25"/>
    </row>
    <row r="43" spans="1:7" ht="112.2">
      <c r="A43" s="312"/>
      <c r="B43" s="160">
        <v>4.0999999999999996</v>
      </c>
      <c r="C43" s="149" t="s">
        <v>2232</v>
      </c>
      <c r="D43" s="161">
        <v>42867</v>
      </c>
      <c r="E43" s="169" t="s">
        <v>2235</v>
      </c>
      <c r="F43" s="27" t="s">
        <v>2234</v>
      </c>
      <c r="G43" s="25"/>
    </row>
    <row r="44" spans="1:7" ht="71.400000000000006">
      <c r="A44" s="312"/>
      <c r="B44" s="160">
        <v>4.2</v>
      </c>
      <c r="C44" s="149" t="s">
        <v>2232</v>
      </c>
      <c r="D44" s="161">
        <v>42704</v>
      </c>
      <c r="E44" s="169" t="s">
        <v>2431</v>
      </c>
      <c r="F44" s="27" t="s">
        <v>2406</v>
      </c>
      <c r="G44" s="25"/>
    </row>
    <row r="45" spans="1:7" ht="132.6">
      <c r="A45" s="312"/>
      <c r="B45" s="202">
        <v>5</v>
      </c>
      <c r="C45" s="149" t="s">
        <v>2232</v>
      </c>
      <c r="D45" s="161">
        <v>42867</v>
      </c>
      <c r="E45" s="169" t="s">
        <v>12652</v>
      </c>
      <c r="F45" s="27" t="s">
        <v>12374</v>
      </c>
      <c r="G45" s="25"/>
    </row>
    <row r="46" spans="1:7" ht="30.6">
      <c r="A46" s="312"/>
      <c r="B46" s="160">
        <v>5.01</v>
      </c>
      <c r="C46" s="149" t="s">
        <v>2232</v>
      </c>
      <c r="D46" s="161">
        <v>42907</v>
      </c>
      <c r="E46" s="169" t="s">
        <v>15329</v>
      </c>
      <c r="F46" s="27" t="s">
        <v>12374</v>
      </c>
      <c r="G46" s="25"/>
    </row>
    <row r="47" spans="1:7" ht="61.2">
      <c r="A47" s="312"/>
      <c r="B47" s="160">
        <v>5.0999999999999996</v>
      </c>
      <c r="C47" s="149" t="s">
        <v>2232</v>
      </c>
      <c r="D47" s="161">
        <v>43070</v>
      </c>
      <c r="E47" s="169" t="s">
        <v>12862</v>
      </c>
      <c r="F47" s="27" t="s">
        <v>12863</v>
      </c>
      <c r="G47" s="25"/>
    </row>
    <row r="48" spans="1:7" ht="51">
      <c r="A48" s="312"/>
      <c r="B48" s="160">
        <v>5.1100000000000003</v>
      </c>
      <c r="C48" s="149" t="s">
        <v>13097</v>
      </c>
      <c r="D48" s="161">
        <v>43217</v>
      </c>
      <c r="E48" s="169" t="s">
        <v>13199</v>
      </c>
      <c r="F48" s="27" t="s">
        <v>13124</v>
      </c>
      <c r="G48" s="25"/>
    </row>
    <row r="49" spans="1:7" ht="51">
      <c r="A49" s="312"/>
      <c r="B49" s="160">
        <v>5.12</v>
      </c>
      <c r="C49" s="149" t="s">
        <v>13097</v>
      </c>
      <c r="D49" s="161">
        <v>43581</v>
      </c>
      <c r="E49" s="169" t="s">
        <v>13199</v>
      </c>
      <c r="F49" s="27" t="s">
        <v>13741</v>
      </c>
      <c r="G49" s="25"/>
    </row>
    <row r="50" spans="1:7" ht="71.400000000000006">
      <c r="A50" s="312"/>
      <c r="B50" s="202">
        <v>6</v>
      </c>
      <c r="C50" s="149" t="s">
        <v>13097</v>
      </c>
      <c r="D50" s="161">
        <v>43964</v>
      </c>
      <c r="E50" s="169" t="s">
        <v>13953</v>
      </c>
      <c r="F50" s="27" t="s">
        <v>13744</v>
      </c>
      <c r="G50" s="25"/>
    </row>
    <row r="51" spans="1:7" ht="40.799999999999997">
      <c r="A51" s="312"/>
      <c r="B51" s="160">
        <v>6.01</v>
      </c>
      <c r="C51" s="149" t="s">
        <v>13097</v>
      </c>
      <c r="D51" s="161">
        <v>43970</v>
      </c>
      <c r="E51" s="169" t="s">
        <v>15330</v>
      </c>
      <c r="F51" s="169" t="s">
        <v>13744</v>
      </c>
      <c r="G51" s="25"/>
    </row>
    <row r="52" spans="1:7" ht="40.799999999999997">
      <c r="A52" s="312"/>
      <c r="B52" s="160">
        <v>6.1</v>
      </c>
      <c r="C52" s="149" t="s">
        <v>13097</v>
      </c>
      <c r="D52" s="161">
        <v>44314</v>
      </c>
      <c r="E52" s="169" t="s">
        <v>15323</v>
      </c>
      <c r="F52" s="169" t="s">
        <v>14913</v>
      </c>
      <c r="G52" s="25"/>
    </row>
    <row r="53" spans="1:7" ht="40.799999999999997">
      <c r="A53" s="312"/>
      <c r="B53" s="160">
        <v>6.2</v>
      </c>
      <c r="C53" s="149" t="s">
        <v>13097</v>
      </c>
      <c r="D53" s="161">
        <v>44678</v>
      </c>
      <c r="E53" s="169" t="s">
        <v>15323</v>
      </c>
      <c r="F53" s="169" t="s">
        <v>15322</v>
      </c>
      <c r="G53" s="25"/>
    </row>
    <row r="54" spans="1:7" ht="40.799999999999997">
      <c r="A54" s="312"/>
      <c r="B54" s="160">
        <v>6.21</v>
      </c>
      <c r="C54" s="149" t="s">
        <v>13097</v>
      </c>
      <c r="D54" s="161">
        <v>44687</v>
      </c>
      <c r="E54" s="169" t="s">
        <v>15331</v>
      </c>
      <c r="F54" s="169" t="s">
        <v>15322</v>
      </c>
      <c r="G54" s="25"/>
    </row>
    <row r="55" spans="1:7" ht="40.799999999999997">
      <c r="A55" s="312"/>
      <c r="B55" s="160">
        <v>6.22</v>
      </c>
      <c r="C55" s="149" t="s">
        <v>13097</v>
      </c>
      <c r="D55" s="275">
        <v>44692</v>
      </c>
      <c r="E55" s="169" t="s">
        <v>15330</v>
      </c>
      <c r="F55" s="169" t="s">
        <v>15322</v>
      </c>
      <c r="G55" s="25"/>
    </row>
    <row r="56" spans="1:7" ht="51">
      <c r="A56" s="312"/>
      <c r="B56" s="202">
        <v>6.3</v>
      </c>
      <c r="C56" s="149" t="s">
        <v>13097</v>
      </c>
      <c r="D56" s="275">
        <v>45051</v>
      </c>
      <c r="E56" s="169" t="s">
        <v>15590</v>
      </c>
      <c r="F56" s="169" t="s">
        <v>15371</v>
      </c>
      <c r="G56" s="25"/>
    </row>
    <row r="57" spans="1:7" ht="40.799999999999997">
      <c r="A57" s="312"/>
      <c r="B57" s="160">
        <v>6.31</v>
      </c>
      <c r="C57" s="149" t="s">
        <v>13097</v>
      </c>
      <c r="D57" s="275">
        <v>45072</v>
      </c>
      <c r="E57" s="169" t="s">
        <v>15592</v>
      </c>
      <c r="F57" s="169" t="s">
        <v>15371</v>
      </c>
      <c r="G57" s="25"/>
    </row>
    <row r="58" spans="1:7" ht="40.5" customHeight="1">
      <c r="A58" s="312"/>
      <c r="B58" s="202">
        <v>6.4</v>
      </c>
      <c r="C58" s="149" t="s">
        <v>13097</v>
      </c>
      <c r="D58" s="275">
        <v>45408</v>
      </c>
      <c r="E58" s="169" t="s">
        <v>15594</v>
      </c>
      <c r="F58" s="169" t="s">
        <v>15593</v>
      </c>
      <c r="G58" s="25"/>
    </row>
    <row r="59" spans="1:7" ht="32.549999999999997" customHeight="1">
      <c r="A59" s="312"/>
      <c r="B59" s="202">
        <v>6.5</v>
      </c>
      <c r="C59" s="149" t="s">
        <v>13097</v>
      </c>
      <c r="D59" s="275">
        <v>45772</v>
      </c>
      <c r="E59" s="169" t="s">
        <v>15669</v>
      </c>
      <c r="F59" s="169" t="s">
        <v>15720</v>
      </c>
      <c r="G59" s="25"/>
    </row>
    <row r="60" spans="1:7" ht="13.2" thickBot="1">
      <c r="A60" s="313"/>
      <c r="B60" s="314" t="str">
        <f ca="1">OFFSET(L!$C$1,MATCH("General"&amp;"Cpy",L!$A:$A,0)-1,SL,,)</f>
        <v>© 2025 Responsible Minerals Initiative. All rights reserved.</v>
      </c>
      <c r="C60" s="314"/>
      <c r="D60" s="314"/>
      <c r="E60" s="314"/>
      <c r="F60" s="31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F6A491C-3D17-456C-86D6-37C62684FCF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698BAAD-5040-4D5E-B5E3-C627CB8141D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21"/>
      <c r="B1" s="322"/>
      <c r="C1" s="322"/>
      <c r="D1" s="323"/>
    </row>
    <row r="2" spans="1:5" ht="71.25" customHeight="1">
      <c r="A2" s="74"/>
      <c r="B2" s="137" t="str">
        <f ca="1">OFFSET(L!$C$1,MATCH("Definitions"&amp;ADDRESS(ROW(),COLUMN(),4),L!$A:$A,0)-1,SL,,)</f>
        <v>ITEM</v>
      </c>
      <c r="C2" s="137" t="str">
        <f ca="1">OFFSET(L!$C$1,MATCH("Definitions"&amp;ADDRESS(ROW(),COLUMN(),4),L!$A:$A,0)-1,SL,,)</f>
        <v>DEFINITION</v>
      </c>
      <c r="D2" s="325"/>
      <c r="E2" s="101"/>
    </row>
    <row r="3" spans="1:5" ht="64.05" customHeight="1">
      <c r="A3" s="74"/>
      <c r="B3" s="63" t="str">
        <f ca="1">OFFSET(L!$C$1,MATCH("Definitions"&amp;ADDRESS(ROW(),COLUMN(),4),L!$A:$A,0)-1,SL,,)</f>
        <v>3TG</v>
      </c>
      <c r="C3" s="63" t="str">
        <f ca="1">OFFSET(L!$C$1,MATCH("Definitions"&amp;ADDRESS(ROW(),COLUMN(),4),L!$A:$A,0)-1,SL,,)</f>
        <v>Tantalum, tin, tungsten, gold</v>
      </c>
      <c r="D3" s="325"/>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5"/>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5"/>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5"/>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5"/>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5"/>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5"/>
      <c r="E9" s="100" t="s">
        <v>1279</v>
      </c>
    </row>
    <row r="10" spans="1:5" ht="48.6">
      <c r="A10" s="74"/>
      <c r="B10" s="63" t="str">
        <f ca="1">OFFSET(L!$C$1,MATCH("Definitions"&amp;ADDRESS(ROW(),COLUMN(),4),L!$A:$A,0)-1,SL,,)</f>
        <v>DRC</v>
      </c>
      <c r="C10" s="63" t="str">
        <f ca="1">OFFSET(L!$C$1,MATCH("Definitions"&amp;ADDRESS(ROW(),COLUMN(),4),L!$A:$A,0)-1,SL,,)</f>
        <v>Democratic Republic of Congo</v>
      </c>
      <c r="D10" s="325"/>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5"/>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5"/>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5"/>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5"/>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5"/>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5"/>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5"/>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5"/>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5"/>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5"/>
      <c r="E20" s="100"/>
    </row>
    <row r="21" spans="1:5" ht="16.2">
      <c r="A21" s="74"/>
      <c r="B21" s="63" t="str">
        <f ca="1">OFFSET(L!$C$1,MATCH("Definitions"&amp;ADDRESS(ROW(),COLUMN(),4),L!$A:$A,0)-1,SL,,)</f>
        <v>RBA</v>
      </c>
      <c r="C21" s="63" t="str">
        <f ca="1">OFFSET(L!$C$1,MATCH("Definitions"&amp;ADDRESS(ROW(),COLUMN(),4),L!$A:$A,0)-1,SL,,)</f>
        <v>Responsible Business Alliance (www.responsiblebusiness.org)</v>
      </c>
      <c r="D21" s="32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5"/>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5"/>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5"/>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5"/>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5"/>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5"/>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5"/>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5"/>
      <c r="E31" s="100"/>
    </row>
    <row r="32" spans="1:5" ht="16.2">
      <c r="A32" s="74"/>
      <c r="B32" s="324" t="str">
        <f ca="1">OFFSET(L!$C$1,MATCH("General"&amp;"Cpy",L!$A:$A,0)-1,SL,,)</f>
        <v>© 2025 Responsible Minerals Initiative. All rights reserved.</v>
      </c>
      <c r="C32" s="324"/>
      <c r="D32" s="325"/>
      <c r="E32" s="100"/>
    </row>
    <row r="33" spans="1:4" ht="13.2" thickBot="1">
      <c r="A33" s="75"/>
      <c r="B33" s="153"/>
      <c r="C33" s="153"/>
      <c r="D33" s="326"/>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19" sqref="D19:J1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5"/>
      <c r="B1" s="346"/>
      <c r="C1" s="346"/>
      <c r="D1" s="346"/>
      <c r="E1" s="346"/>
      <c r="F1" s="346"/>
      <c r="G1" s="346"/>
      <c r="H1" s="346"/>
      <c r="I1" s="346"/>
      <c r="J1" s="346"/>
      <c r="K1" s="347"/>
      <c r="L1" s="100"/>
      <c r="P1" s="3"/>
      <c r="Q1" s="3"/>
      <c r="R1" s="3"/>
      <c r="S1" s="3"/>
      <c r="T1" s="3"/>
      <c r="U1" s="3"/>
      <c r="V1" s="3"/>
      <c r="W1" s="3"/>
      <c r="X1" s="3"/>
      <c r="Y1" s="3"/>
      <c r="Z1" s="3"/>
      <c r="AA1" s="3"/>
      <c r="AB1" s="3"/>
      <c r="AC1" s="3"/>
      <c r="AD1" s="3"/>
      <c r="AE1" s="3"/>
      <c r="AF1" s="3"/>
      <c r="AG1" s="3"/>
      <c r="AH1" s="3"/>
    </row>
    <row r="2" spans="1:34" ht="82.35" customHeight="1">
      <c r="A2" s="34"/>
      <c r="B2" s="136"/>
      <c r="C2" s="35"/>
      <c r="D2" s="348" t="str">
        <f ca="1">OFFSET(L!$C$1,MATCH("Declaration"&amp;ADDRESS(ROW(),COLUMN(),4),L!$A:$A,0)-1,SL,,)</f>
        <v>Conflict Minerals Reporting Template (CMRT)</v>
      </c>
      <c r="E2" s="349"/>
      <c r="F2" s="349"/>
      <c r="G2" s="349"/>
      <c r="H2" s="349"/>
      <c r="I2" s="349"/>
      <c r="J2" s="35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1"/>
      <c r="G3" s="361"/>
      <c r="H3" s="361"/>
      <c r="I3" s="152"/>
      <c r="J3" s="138" t="s">
        <v>15733</v>
      </c>
      <c r="K3" s="36"/>
      <c r="L3" s="100"/>
      <c r="P3" s="45">
        <f>MATCH($D$3,LN,0)</f>
        <v>1</v>
      </c>
    </row>
    <row r="4" spans="1:34" ht="16.2">
      <c r="A4" s="34"/>
      <c r="B4" s="357" t="str">
        <f ca="1">OFFSET(L!$C$1,MATCH("Declaration"&amp;ADDRESS(ROW(),COLUMN(),4),L!$A:$A,0)-1,SL,,)</f>
        <v>The purpose of this document is to collect sourcing information on tin, tantalum, tungsten and gold used in products</v>
      </c>
      <c r="C4" s="357"/>
      <c r="D4" s="357"/>
      <c r="E4" s="357"/>
      <c r="F4" s="357"/>
      <c r="G4" s="357"/>
      <c r="H4" s="357"/>
      <c r="I4" s="362" t="str">
        <f ca="1">OFFSET(L!$C$1,MATCH("Declaration"&amp;ADDRESS(ROW(),COLUMN(),4),L!$A:$A,0)-1,SL,,)</f>
        <v>Link to Terms &amp; Conditions</v>
      </c>
      <c r="J4" s="362"/>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6" t="str">
        <f ca="1">OFFSET(L!$C$1,MATCH("Declaration"&amp;ADDRESS(ROW(),COLUMN(),4),L!$A:$A,0)-1,SL,,)</f>
        <v>Company Information</v>
      </c>
      <c r="C7" s="366"/>
      <c r="D7" s="366"/>
      <c r="E7" s="366"/>
      <c r="F7" s="366"/>
      <c r="G7" s="366"/>
      <c r="H7" s="366"/>
      <c r="I7" s="366"/>
      <c r="J7" s="366"/>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51" t="s">
        <v>15817</v>
      </c>
      <c r="E8" s="352"/>
      <c r="F8" s="352"/>
      <c r="G8" s="352"/>
      <c r="H8" s="352"/>
      <c r="I8" s="352"/>
      <c r="J8" s="353"/>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3" t="s">
        <v>481</v>
      </c>
      <c r="E9" s="364"/>
      <c r="F9" s="364"/>
      <c r="G9" s="365"/>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7" t="str">
        <f ca="1">OFFSET(L!$C$1,MATCH("Declaration"&amp;ADDRESS(ROW(),COLUMN(),4)&amp;LEFT($D$9,1),L!$A:$A,0)-1,SL,,)</f>
        <v>Description of Scope:</v>
      </c>
      <c r="C10" s="122"/>
      <c r="D10" s="358" t="s">
        <v>15818</v>
      </c>
      <c r="E10" s="359"/>
      <c r="F10" s="359"/>
      <c r="G10" s="359"/>
      <c r="H10" s="359"/>
      <c r="I10" s="359"/>
      <c r="J10" s="360"/>
      <c r="K10" s="36"/>
      <c r="L10" s="115"/>
      <c r="Q10" s="3"/>
      <c r="R10" s="3"/>
      <c r="S10" s="3"/>
      <c r="T10" s="3"/>
      <c r="U10" s="3"/>
      <c r="V10" s="3"/>
      <c r="W10" s="3"/>
      <c r="X10" s="3"/>
      <c r="Y10" s="3"/>
      <c r="Z10" s="3"/>
      <c r="AA10" s="3"/>
      <c r="AB10" s="3"/>
      <c r="AC10" s="3"/>
      <c r="AD10" s="3"/>
      <c r="AE10" s="3"/>
      <c r="AF10" s="3"/>
      <c r="AG10" s="3"/>
      <c r="AH10" s="3"/>
    </row>
    <row r="11" spans="1:34" ht="16.2">
      <c r="A11" s="38"/>
      <c r="B11" s="368"/>
      <c r="C11" s="122"/>
      <c r="D11" s="374" t="str">
        <f ca="1">IF(D9=Q9,OFFSET(L!$C$1,MATCH("Declaration"&amp;ADDRESS(ROW(),COLUMN(),4),L!$A:$A,0)-1,SL,,),"")</f>
        <v/>
      </c>
      <c r="E11" s="375"/>
      <c r="F11" s="375"/>
      <c r="G11" s="375"/>
      <c r="H11" s="375"/>
      <c r="I11" s="375"/>
      <c r="J11" s="376"/>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4"/>
      <c r="E12" s="355"/>
      <c r="F12" s="355"/>
      <c r="G12" s="355"/>
      <c r="H12" s="355"/>
      <c r="I12" s="355"/>
      <c r="J12" s="356"/>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4"/>
      <c r="E13" s="355"/>
      <c r="F13" s="355"/>
      <c r="G13" s="355"/>
      <c r="H13" s="355"/>
      <c r="I13" s="355"/>
      <c r="J13" s="356"/>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4" t="s">
        <v>15819</v>
      </c>
      <c r="E14" s="355"/>
      <c r="F14" s="355"/>
      <c r="G14" s="355"/>
      <c r="H14" s="355"/>
      <c r="I14" s="355"/>
      <c r="J14" s="356"/>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4" t="s">
        <v>15820</v>
      </c>
      <c r="E15" s="355"/>
      <c r="F15" s="355"/>
      <c r="G15" s="355"/>
      <c r="H15" s="355"/>
      <c r="I15" s="355"/>
      <c r="J15" s="356"/>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9" t="s">
        <v>15821</v>
      </c>
      <c r="E16" s="370"/>
      <c r="F16" s="370"/>
      <c r="G16" s="370"/>
      <c r="H16" s="370"/>
      <c r="I16" s="370"/>
      <c r="J16" s="371"/>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4" t="s">
        <v>15822</v>
      </c>
      <c r="E17" s="355"/>
      <c r="F17" s="355"/>
      <c r="G17" s="355"/>
      <c r="H17" s="355"/>
      <c r="I17" s="355"/>
      <c r="J17" s="356"/>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7" t="s">
        <v>15820</v>
      </c>
      <c r="E18" s="388"/>
      <c r="F18" s="388"/>
      <c r="G18" s="388"/>
      <c r="H18" s="388"/>
      <c r="I18" s="388"/>
      <c r="J18" s="389"/>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4" t="s">
        <v>15827</v>
      </c>
      <c r="E19" s="355"/>
      <c r="F19" s="355"/>
      <c r="G19" s="355"/>
      <c r="H19" s="355"/>
      <c r="I19" s="355"/>
      <c r="J19" s="356"/>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9" t="s">
        <v>15821</v>
      </c>
      <c r="E20" s="370"/>
      <c r="F20" s="370"/>
      <c r="G20" s="370"/>
      <c r="H20" s="370"/>
      <c r="I20" s="370"/>
      <c r="J20" s="371"/>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7" t="s">
        <v>15822</v>
      </c>
      <c r="E21" s="328"/>
      <c r="F21" s="328"/>
      <c r="G21" s="328"/>
      <c r="H21" s="328"/>
      <c r="I21" s="328"/>
      <c r="J21" s="329"/>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32">
        <v>46097</v>
      </c>
      <c r="E22" s="333"/>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9"/>
      <c r="E23" s="37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4" t="str">
        <f ca="1">OFFSET(L!$C$1,MATCH("Declaration"&amp;ADDRESS(ROW(),COLUMN(),4),L!$A:$A,0)-1,SL,,)</f>
        <v>Answer the following questions 1 - 8 based on the declaration scope indicated above</v>
      </c>
      <c r="C24" s="334"/>
      <c r="D24" s="334"/>
      <c r="E24" s="334"/>
      <c r="F24" s="334"/>
      <c r="G24" s="334"/>
      <c r="H24" s="334"/>
      <c r="I24" s="334"/>
      <c r="J24" s="334"/>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1" t="str">
        <f ca="1">OFFSET(L!$C$1,MATCH("Declaration"&amp;ADDRESS(ROW(),COLUMN(),4),L!$A:$A,0)-1,SL,,)</f>
        <v>Answer</v>
      </c>
      <c r="E25" s="341"/>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30" t="s">
        <v>476</v>
      </c>
      <c r="E26" s="331"/>
      <c r="F26" s="12"/>
      <c r="G26" s="338"/>
      <c r="H26" s="339"/>
      <c r="I26" s="339"/>
      <c r="J26" s="34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30" t="s">
        <v>475</v>
      </c>
      <c r="E27" s="331"/>
      <c r="F27" s="12"/>
      <c r="G27" s="338"/>
      <c r="H27" s="339"/>
      <c r="I27" s="339"/>
      <c r="J27" s="34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30" t="s">
        <v>475</v>
      </c>
      <c r="E28" s="331"/>
      <c r="F28" s="12"/>
      <c r="G28" s="338"/>
      <c r="H28" s="339"/>
      <c r="I28" s="339"/>
      <c r="J28" s="34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30" t="s">
        <v>475</v>
      </c>
      <c r="E29" s="331"/>
      <c r="F29" s="12"/>
      <c r="G29" s="338"/>
      <c r="H29" s="339"/>
      <c r="I29" s="339"/>
      <c r="J29" s="34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6"/>
      <c r="E32" s="337"/>
      <c r="F32" s="47"/>
      <c r="G32" s="338"/>
      <c r="H32" s="339"/>
      <c r="I32" s="339"/>
      <c r="J32" s="34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30" t="s">
        <v>475</v>
      </c>
      <c r="E33" s="331"/>
      <c r="F33" s="47"/>
      <c r="G33" s="338"/>
      <c r="H33" s="339"/>
      <c r="I33" s="339"/>
      <c r="J33" s="34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30" t="s">
        <v>475</v>
      </c>
      <c r="E34" s="331"/>
      <c r="F34" s="47"/>
      <c r="G34" s="338"/>
      <c r="H34" s="339"/>
      <c r="I34" s="339"/>
      <c r="J34" s="34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30" t="s">
        <v>475</v>
      </c>
      <c r="E35" s="331"/>
      <c r="F35" s="47"/>
      <c r="G35" s="338"/>
      <c r="H35" s="339"/>
      <c r="I35" s="339"/>
      <c r="J35" s="34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78"/>
      <c r="I37" s="378"/>
      <c r="J37" s="378"/>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30"/>
      <c r="E38" s="331"/>
      <c r="F38" s="47"/>
      <c r="G38" s="338"/>
      <c r="H38" s="339"/>
      <c r="I38" s="339"/>
      <c r="J38" s="34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30" t="s">
        <v>476</v>
      </c>
      <c r="E39" s="331"/>
      <c r="F39" s="47"/>
      <c r="G39" s="338"/>
      <c r="H39" s="339"/>
      <c r="I39" s="339"/>
      <c r="J39" s="34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30" t="s">
        <v>476</v>
      </c>
      <c r="E40" s="331"/>
      <c r="F40" s="47"/>
      <c r="G40" s="338"/>
      <c r="H40" s="339"/>
      <c r="I40" s="339"/>
      <c r="J40" s="34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30" t="s">
        <v>476</v>
      </c>
      <c r="E41" s="331"/>
      <c r="F41" s="47"/>
      <c r="G41" s="338"/>
      <c r="H41" s="339"/>
      <c r="I41" s="339"/>
      <c r="J41" s="34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30"/>
      <c r="E44" s="331"/>
      <c r="F44" s="47"/>
      <c r="G44" s="338"/>
      <c r="H44" s="339"/>
      <c r="I44" s="339"/>
      <c r="J44" s="34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0" t="s">
        <v>476</v>
      </c>
      <c r="E45" s="331"/>
      <c r="F45" s="47"/>
      <c r="G45" s="338"/>
      <c r="H45" s="339"/>
      <c r="I45" s="339"/>
      <c r="J45" s="34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0" t="s">
        <v>476</v>
      </c>
      <c r="E46" s="331"/>
      <c r="F46" s="47"/>
      <c r="G46" s="338"/>
      <c r="H46" s="339"/>
      <c r="I46" s="339"/>
      <c r="J46" s="34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0" t="s">
        <v>476</v>
      </c>
      <c r="E47" s="331"/>
      <c r="F47" s="47"/>
      <c r="G47" s="338"/>
      <c r="H47" s="339"/>
      <c r="I47" s="339"/>
      <c r="J47" s="34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30"/>
      <c r="E50" s="331"/>
      <c r="F50" s="47"/>
      <c r="G50" s="338"/>
      <c r="H50" s="339"/>
      <c r="I50" s="339"/>
      <c r="J50" s="34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30" t="s">
        <v>476</v>
      </c>
      <c r="E51" s="331"/>
      <c r="F51" s="47"/>
      <c r="G51" s="338"/>
      <c r="H51" s="339"/>
      <c r="I51" s="339"/>
      <c r="J51" s="34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30" t="s">
        <v>476</v>
      </c>
      <c r="E52" s="331"/>
      <c r="F52" s="47"/>
      <c r="G52" s="338"/>
      <c r="H52" s="339"/>
      <c r="I52" s="339"/>
      <c r="J52" s="34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30" t="s">
        <v>476</v>
      </c>
      <c r="E53" s="331"/>
      <c r="F53" s="47"/>
      <c r="G53" s="338"/>
      <c r="H53" s="339"/>
      <c r="I53" s="339"/>
      <c r="J53" s="34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72"/>
      <c r="E56" s="373"/>
      <c r="F56" s="47"/>
      <c r="G56" s="338"/>
      <c r="H56" s="339"/>
      <c r="I56" s="339"/>
      <c r="J56" s="34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72" t="s">
        <v>15823</v>
      </c>
      <c r="E57" s="373"/>
      <c r="F57" s="47"/>
      <c r="G57" s="338"/>
      <c r="H57" s="339"/>
      <c r="I57" s="339"/>
      <c r="J57" s="34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72" t="s">
        <v>15823</v>
      </c>
      <c r="E58" s="373"/>
      <c r="F58" s="47"/>
      <c r="G58" s="338"/>
      <c r="H58" s="339"/>
      <c r="I58" s="339"/>
      <c r="J58" s="34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72" t="s">
        <v>15823</v>
      </c>
      <c r="E59" s="373"/>
      <c r="F59" s="47"/>
      <c r="G59" s="338"/>
      <c r="H59" s="339"/>
      <c r="I59" s="339"/>
      <c r="J59" s="34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77"/>
      <c r="I61" s="377"/>
      <c r="J61" s="377"/>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6"/>
      <c r="E62" s="337"/>
      <c r="F62" s="47"/>
      <c r="G62" s="338"/>
      <c r="H62" s="339"/>
      <c r="I62" s="339"/>
      <c r="J62" s="34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30" t="s">
        <v>475</v>
      </c>
      <c r="E63" s="331"/>
      <c r="F63" s="47"/>
      <c r="G63" s="338"/>
      <c r="H63" s="339"/>
      <c r="I63" s="339"/>
      <c r="J63" s="34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30" t="s">
        <v>475</v>
      </c>
      <c r="E64" s="331"/>
      <c r="F64" s="47"/>
      <c r="G64" s="338"/>
      <c r="H64" s="339"/>
      <c r="I64" s="339"/>
      <c r="J64" s="34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30" t="s">
        <v>475</v>
      </c>
      <c r="E65" s="331"/>
      <c r="F65" s="47"/>
      <c r="G65" s="338"/>
      <c r="H65" s="339"/>
      <c r="I65" s="339"/>
      <c r="J65" s="34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77" t="str">
        <f>IF(Q75="(*)","Click here to enter smelter names","")</f>
        <v/>
      </c>
      <c r="I67" s="377"/>
      <c r="J67" s="377"/>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30"/>
      <c r="E68" s="331"/>
      <c r="F68" s="48"/>
      <c r="G68" s="338"/>
      <c r="H68" s="339"/>
      <c r="I68" s="339"/>
      <c r="J68" s="34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30" t="s">
        <v>475</v>
      </c>
      <c r="E69" s="331"/>
      <c r="F69" s="48"/>
      <c r="G69" s="338"/>
      <c r="H69" s="339"/>
      <c r="I69" s="339"/>
      <c r="J69" s="34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30" t="s">
        <v>475</v>
      </c>
      <c r="E70" s="331"/>
      <c r="F70" s="48"/>
      <c r="G70" s="338"/>
      <c r="H70" s="339"/>
      <c r="I70" s="339"/>
      <c r="J70" s="34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30" t="s">
        <v>475</v>
      </c>
      <c r="E71" s="331"/>
      <c r="F71" s="50"/>
      <c r="G71" s="338"/>
      <c r="H71" s="339"/>
      <c r="I71" s="339"/>
      <c r="J71" s="34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90" t="str">
        <f ca="1">OFFSET(L!$C$1,MATCH("Declaration"&amp;ADDRESS(ROW(),COLUMN(),4),L!$A:$A,0)-1,SL,,)</f>
        <v>Answer the Following Questions at a Company Level</v>
      </c>
      <c r="C73" s="390"/>
      <c r="D73" s="390"/>
      <c r="E73" s="390"/>
      <c r="F73" s="390"/>
      <c r="G73" s="390"/>
      <c r="H73" s="390"/>
      <c r="I73" s="390"/>
      <c r="J73" s="390"/>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41" t="str">
        <f ca="1">D25</f>
        <v>Answer</v>
      </c>
      <c r="E74" s="341"/>
      <c r="F74" s="53"/>
      <c r="G74" s="341" t="str">
        <f ca="1">G25</f>
        <v>Comments</v>
      </c>
      <c r="H74" s="341" t="e">
        <f>HLOOKUP(SL,LT,$O74,0)</f>
        <v>#NAME?</v>
      </c>
      <c r="I74" s="34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30" t="s">
        <v>475</v>
      </c>
      <c r="E75" s="331"/>
      <c r="F75" s="57"/>
      <c r="G75" s="338"/>
      <c r="H75" s="339"/>
      <c r="I75" s="339"/>
      <c r="J75" s="34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5"/>
      <c r="H76" s="385"/>
      <c r="I76" s="385"/>
      <c r="J76" s="38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0" t="s">
        <v>476</v>
      </c>
      <c r="E77" s="331"/>
      <c r="F77" s="57"/>
      <c r="G77" s="342"/>
      <c r="H77" s="343"/>
      <c r="I77" s="343"/>
      <c r="J77" s="344"/>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0" t="s">
        <v>475</v>
      </c>
      <c r="E79" s="331"/>
      <c r="F79" s="57"/>
      <c r="G79" s="338"/>
      <c r="H79" s="339"/>
      <c r="I79" s="339"/>
      <c r="J79" s="34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0" t="s">
        <v>475</v>
      </c>
      <c r="E81" s="331"/>
      <c r="F81" s="57"/>
      <c r="G81" s="338"/>
      <c r="H81" s="339"/>
      <c r="I81" s="339"/>
      <c r="J81" s="34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0" t="s">
        <v>14853</v>
      </c>
      <c r="E83" s="331"/>
      <c r="F83" s="57"/>
      <c r="G83" s="338"/>
      <c r="H83" s="339"/>
      <c r="I83" s="339"/>
      <c r="J83" s="34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3" t="s">
        <v>475</v>
      </c>
      <c r="E85" s="384"/>
      <c r="F85" s="57"/>
      <c r="G85" s="338"/>
      <c r="H85" s="339"/>
      <c r="I85" s="339"/>
      <c r="J85" s="34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5"/>
      <c r="H86" s="385"/>
      <c r="I86" s="385"/>
      <c r="J86" s="38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0" t="s">
        <v>475</v>
      </c>
      <c r="E87" s="331"/>
      <c r="F87" s="57"/>
      <c r="G87" s="338"/>
      <c r="H87" s="339"/>
      <c r="I87" s="339"/>
      <c r="J87" s="34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6"/>
      <c r="H88" s="386"/>
      <c r="I88" s="386"/>
      <c r="J88" s="386"/>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30" t="s">
        <v>476</v>
      </c>
      <c r="E89" s="331"/>
      <c r="F89" s="57"/>
      <c r="G89" s="338"/>
      <c r="H89" s="339"/>
      <c r="I89" s="339"/>
      <c r="J89" s="34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82" t="str">
        <f>IF(OR($D$8="",$I$3=""),"","Click here to check required fields completion")</f>
        <v/>
      </c>
      <c r="C90" s="382"/>
      <c r="D90" s="382"/>
      <c r="E90" s="382"/>
      <c r="F90" s="382"/>
      <c r="G90" s="382"/>
      <c r="H90" s="382"/>
      <c r="I90" s="382"/>
      <c r="J90" s="382"/>
      <c r="K90" s="36"/>
      <c r="L90" s="100"/>
      <c r="P90" s="3"/>
      <c r="Q90" s="3"/>
      <c r="R90" s="3"/>
      <c r="S90" s="3"/>
      <c r="T90" s="3"/>
      <c r="U90" s="3"/>
      <c r="V90" s="3"/>
      <c r="W90" s="3"/>
      <c r="X90" s="3"/>
      <c r="Y90" s="3"/>
      <c r="Z90" s="3"/>
      <c r="AA90" s="3"/>
      <c r="AB90" s="3"/>
      <c r="AC90" s="3"/>
      <c r="AD90" s="3"/>
      <c r="AE90" s="3"/>
      <c r="AF90" s="3"/>
      <c r="AG90" s="3"/>
      <c r="AH90" s="3"/>
    </row>
    <row r="91" spans="1:34" ht="16.8" thickBot="1">
      <c r="A91" s="380" t="str">
        <f ca="1">OFFSET(L!$C$1,MATCH("General"&amp;"Cpy",L!$A:$A,0)-1,SL,,)</f>
        <v>© 2025 Responsible Minerals Initiative. All rights reserved.</v>
      </c>
      <c r="B91" s="381"/>
      <c r="C91" s="381"/>
      <c r="D91" s="381"/>
      <c r="E91" s="381"/>
      <c r="F91" s="381"/>
      <c r="G91" s="381"/>
      <c r="H91" s="381"/>
      <c r="I91" s="381"/>
      <c r="J91" s="381"/>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B374DAF-8B54-4F4C-9407-C9D8D227B4DC}"/>
    <hyperlink ref="D20" r:id="rId4" xr:uid="{1B7D974B-4CA0-420D-947B-C26067656CF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4" zoomScaleNormal="100" zoomScalePageLayoutView="55" workbookViewId="0">
      <selection activeCell="C24" sqref="C24"/>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91" t="str">
        <f ca="1">OFFSET(L!$C$1,MATCH("Smelter List"&amp;ADDRESS(ROW(),COLUMN(),4),L!$A:$A,0)-1,SL,,)</f>
        <v>Link to "RMAP Conformant Smelter List"</v>
      </c>
      <c r="K2" s="392"/>
      <c r="L2" s="392"/>
      <c r="M2" s="392"/>
      <c r="N2" s="392"/>
      <c r="O2" s="392"/>
      <c r="P2" s="195"/>
      <c r="Q2" s="196"/>
      <c r="R2" s="197"/>
      <c r="S2" s="197"/>
      <c r="T2" s="197"/>
      <c r="AH2" s="145" t="s">
        <v>475</v>
      </c>
    </row>
    <row r="3" spans="1:34" s="221" customFormat="1" ht="177" customHeight="1">
      <c r="A3" s="171"/>
      <c r="B3" s="39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3"/>
      <c r="D3" s="393"/>
      <c r="E3" s="393"/>
      <c r="F3" s="222"/>
      <c r="G3" s="394" t="str">
        <f ca="1">OFFSET(L!$C$1,MATCH("General"&amp;"Cpy",L!$A:$A,0)-1,SL,,)</f>
        <v>© 2025 Responsible Minerals Initiative. All rights reserved.</v>
      </c>
      <c r="H3" s="394"/>
      <c r="I3" s="395"/>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c r="B5" s="182" t="s">
        <v>1099</v>
      </c>
      <c r="C5" s="186" t="s">
        <v>1003</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IF(C5="",NA(),IF(OR(C5="Smelter not listed",C5="Smelter not yet identified"),MATCH($B5&amp;$D5,'Smelter Look-up'!$J:$J,0),MATCH($B5&amp;$C5,'Smelter Look-up'!$J:$J,0)))</f>
        <v>481</v>
      </c>
      <c r="X5" s="227">
        <f t="shared" ref="X5" ca="1" si="0">IF(AND(C5="Smelter not listed",OR(LEN(D5)=0,LEN(E5)=0)),1,0)</f>
        <v>0</v>
      </c>
      <c r="AB5" s="228" t="str">
        <f t="shared" ref="AB5" si="1">B5&amp;C5</f>
        <v>TinMinsur</v>
      </c>
    </row>
    <row r="6" spans="1:34" s="227" customFormat="1" ht="19.95" customHeight="1">
      <c r="A6" s="262"/>
      <c r="B6" s="182" t="s">
        <v>1099</v>
      </c>
      <c r="C6" s="186" t="s">
        <v>814</v>
      </c>
      <c r="D6" s="230"/>
      <c r="E6" s="182" t="str">
        <f ca="1">IF(ISERROR($V6),"",OFFSET('Smelter Look-up'!$D$4,$V6-4,0)&amp;"")</f>
        <v>BOLIVIA (PLURINATIONAL STATE OF)</v>
      </c>
      <c r="F6" s="182" t="str">
        <f ca="1">IF(ISERROR($V6),"",OFFSET('Smelter Look-up'!$E$4,$V6-4,0))</f>
        <v>CID000438</v>
      </c>
      <c r="G6" s="182" t="str">
        <f ca="1">IF(C6=$X$4,IF(ISERROR($V6),"Enter smelter details","RMI"),IF(ISERROR($V6),"",OFFSET('Smelter Look-up'!$F$4,$V6-4,0)))</f>
        <v>RMI</v>
      </c>
      <c r="H6" s="183">
        <f ca="1">IF(ISERROR($V6),"",OFFSET('Smelter Look-up'!$G$4,$V6-4,0))</f>
        <v>0</v>
      </c>
      <c r="I6" s="184" t="str">
        <f ca="1">IF(ISERROR($V6),"",OFFSET('Smelter Look-up'!$H$4,$V6-4,0))</f>
        <v>Oruro</v>
      </c>
      <c r="J6" s="184" t="str">
        <f ca="1">IF(ISERROR($V6),"",OFFSET('Smelter Look-up'!$I$4,$V6-4,0))</f>
        <v>Oruro</v>
      </c>
      <c r="K6" s="224"/>
      <c r="L6" s="224"/>
      <c r="M6" s="224"/>
      <c r="N6" s="224"/>
      <c r="O6" s="224"/>
      <c r="P6" s="185"/>
      <c r="Q6" s="225"/>
      <c r="R6" s="182" t="str">
        <f ca="1">IF(ISERROR($V6),"",OFFSET('Smelter Look-up'!$C$4,$V6-4,0)&amp;"")</f>
        <v>EM Vinto</v>
      </c>
      <c r="S6" s="181" t="str">
        <f t="shared" ref="S6:S37" ca="1" si="2">IF(B6="","",IF(ISERROR(MATCH($E6,CL,0)),"Unknown",INDIRECT("'C'!$A$"&amp;MATCH($E6,CL,0)+1)))</f>
        <v>BO</v>
      </c>
      <c r="T6" s="181" t="str">
        <f ca="1">IF(B6="","",IF(ISERROR(MATCH($J6,SorP!$B$1:$B$6226,0)),"",INDIRECT("'SorP'!$A$"&amp;MATCH($S6&amp;$J6,SorP!C:C,0))))</f>
        <v>BO-O</v>
      </c>
      <c r="U6" s="201"/>
      <c r="V6" s="226">
        <f>IF(C6="",NA(),IF(OR(C6="Smelter not listed",C6="Smelter not yet identified"),MATCH($B6&amp;$D6,'Smelter Look-up'!$J:$J,0),MATCH($B6&amp;$C6,'Smelter Look-up'!$J:$J,0)))</f>
        <v>428</v>
      </c>
      <c r="X6" s="227">
        <f t="shared" ref="X6:X37" ca="1" si="3">IF(AND(C6="Smelter not listed",OR(LEN(D6)=0,LEN(E6)=0)),1,0)</f>
        <v>0</v>
      </c>
      <c r="AB6" s="228" t="str">
        <f t="shared" ref="AB6:AB37" si="4">B6&amp;C6</f>
        <v>TinEM Vinto</v>
      </c>
    </row>
    <row r="7" spans="1:34" s="227" customFormat="1" ht="19.95" customHeight="1">
      <c r="A7" s="262"/>
      <c r="B7" s="182" t="s">
        <v>1099</v>
      </c>
      <c r="C7" s="186" t="s">
        <v>1002</v>
      </c>
      <c r="D7" s="230"/>
      <c r="E7" s="182" t="str">
        <f ca="1">IF(ISERROR($V7),"",OFFSET('Smelter Look-up'!$D$4,$V7-4,0)&amp;"")</f>
        <v>BRAZIL</v>
      </c>
      <c r="F7" s="182" t="str">
        <f ca="1">IF(ISERROR($V7),"",OFFSET('Smelter Look-up'!$E$4,$V7-4,0))</f>
        <v>CID001173</v>
      </c>
      <c r="G7" s="182" t="str">
        <f ca="1">IF(C7=$X$4,IF(ISERROR($V7),"Enter smelter details","RMI"),IF(ISERROR($V7),"",OFFSET('Smelter Look-up'!$F$4,$V7-4,0)))</f>
        <v>RMI</v>
      </c>
      <c r="H7" s="183">
        <f ca="1">IF(ISERROR($V7),"",OFFSET('Smelter Look-up'!$G$4,$V7-4,0))</f>
        <v>0</v>
      </c>
      <c r="I7" s="184" t="str">
        <f ca="1">IF(ISERROR($V7),"",OFFSET('Smelter Look-up'!$H$4,$V7-4,0))</f>
        <v>Pirapora de Bom Jesus</v>
      </c>
      <c r="J7" s="184" t="str">
        <f ca="1">IF(ISERROR($V7),"",OFFSET('Smelter Look-up'!$I$4,$V7-4,0))</f>
        <v>São Paulo</v>
      </c>
      <c r="K7" s="224"/>
      <c r="L7" s="224"/>
      <c r="M7" s="224"/>
      <c r="N7" s="224"/>
      <c r="O7" s="224"/>
      <c r="P7" s="185"/>
      <c r="Q7" s="225"/>
      <c r="R7" s="182" t="str">
        <f ca="1">IF(ISERROR($V7),"",OFFSET('Smelter Look-up'!$C$4,$V7-4,0)&amp;"")</f>
        <v>Mineracao Taboca S.A.</v>
      </c>
      <c r="S7" s="181" t="str">
        <f t="shared" ca="1" si="2"/>
        <v>BR</v>
      </c>
      <c r="T7" s="181" t="str">
        <f ca="1">IF(B7="","",IF(ISERROR(MATCH($J7,SorP!$B$1:$B$6226,0)),"",INDIRECT("'SorP'!$A$"&amp;MATCH($S7&amp;$J7,SorP!C:C,0))))</f>
        <v>BR-SP</v>
      </c>
      <c r="U7" s="201"/>
      <c r="V7" s="226">
        <f>IF(C7="",NA(),IF(OR(C7="Smelter not listed",C7="Smelter not yet identified"),MATCH($B7&amp;$D7,'Smelter Look-up'!$J:$J,0),MATCH($B7&amp;$C7,'Smelter Look-up'!$J:$J,0)))</f>
        <v>477</v>
      </c>
      <c r="X7" s="227">
        <f t="shared" ca="1" si="3"/>
        <v>0</v>
      </c>
      <c r="AB7" s="228" t="str">
        <f t="shared" si="4"/>
        <v>TinMineração Taboca S.A.</v>
      </c>
    </row>
    <row r="8" spans="1:34" s="227" customFormat="1" ht="19.95" customHeight="1">
      <c r="A8" s="262"/>
      <c r="B8" s="182" t="s">
        <v>1099</v>
      </c>
      <c r="C8" s="186" t="s">
        <v>2093</v>
      </c>
      <c r="D8" s="230"/>
      <c r="E8" s="182" t="str">
        <f ca="1">IF(ISERROR($V8),"",OFFSET('Smelter Look-up'!$D$4,$V8-4,0)&amp;"")</f>
        <v>BOLIVIA (PLURINATIONAL STATE OF)</v>
      </c>
      <c r="F8" s="182" t="str">
        <f ca="1">IF(ISERROR($V8),"",OFFSET('Smelter Look-up'!$E$4,$V8-4,0))</f>
        <v>CID001337</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4"/>
      <c r="L8" s="224"/>
      <c r="M8" s="224"/>
      <c r="N8" s="224"/>
      <c r="O8" s="224"/>
      <c r="P8" s="185"/>
      <c r="Q8" s="225"/>
      <c r="R8" s="182" t="str">
        <f ca="1">IF(ISERROR($V8),"",OFFSET('Smelter Look-up'!$C$4,$V8-4,0)&amp;"")</f>
        <v>Operaciones Metalurgicas S.A.</v>
      </c>
      <c r="S8" s="181" t="str">
        <f t="shared" ca="1" si="2"/>
        <v>BO</v>
      </c>
      <c r="T8" s="181" t="str">
        <f ca="1">IF(B8="","",IF(ISERROR(MATCH($J8,SorP!$B$1:$B$6226,0)),"",INDIRECT("'SorP'!$A$"&amp;MATCH($S8&amp;$J8,SorP!C:C,0))))</f>
        <v>BO-O</v>
      </c>
      <c r="U8" s="201"/>
      <c r="V8" s="226">
        <f>IF(C8="",NA(),IF(OR(C8="Smelter not listed",C8="Smelter not yet identified"),MATCH($B8&amp;$D8,'Smelter Look-up'!$J:$J,0),MATCH($B8&amp;$C8,'Smelter Look-up'!$J:$J,0)))</f>
        <v>492</v>
      </c>
      <c r="X8" s="227">
        <f t="shared" ca="1" si="3"/>
        <v>0</v>
      </c>
      <c r="AB8" s="228" t="str">
        <f t="shared" si="4"/>
        <v>TinOMSA</v>
      </c>
    </row>
    <row r="9" spans="1:34" s="227" customFormat="1" ht="19.95" customHeight="1">
      <c r="A9" s="262"/>
      <c r="B9" s="182" t="s">
        <v>1099</v>
      </c>
      <c r="C9" s="186" t="s">
        <v>1000</v>
      </c>
      <c r="D9" s="230"/>
      <c r="E9" s="182" t="str">
        <f ca="1">IF(ISERROR($V9),"",OFFSET('Smelter Look-up'!$D$4,$V9-4,0)&amp;"")</f>
        <v>THAILAND</v>
      </c>
      <c r="F9" s="182" t="str">
        <f ca="1">IF(ISERROR($V9),"",OFFSET('Smelter Look-up'!$E$4,$V9-4,0))</f>
        <v>CID001898</v>
      </c>
      <c r="G9" s="182" t="str">
        <f ca="1">IF(C9=$X$4,IF(ISERROR($V9),"Enter smelter details","RMI"),IF(ISERROR($V9),"",OFFSET('Smelter Look-up'!$F$4,$V9-4,0)))</f>
        <v>RMI</v>
      </c>
      <c r="H9" s="183">
        <f ca="1">IF(ISERROR($V9),"",OFFSET('Smelter Look-up'!$G$4,$V9-4,0))</f>
        <v>0</v>
      </c>
      <c r="I9" s="184" t="str">
        <f ca="1">IF(ISERROR($V9),"",OFFSET('Smelter Look-up'!$H$4,$V9-4,0))</f>
        <v>Amphur Muang</v>
      </c>
      <c r="J9" s="184" t="str">
        <f ca="1">IF(ISERROR($V9),"",OFFSET('Smelter Look-up'!$I$4,$V9-4,0))</f>
        <v>Phuket</v>
      </c>
      <c r="K9" s="224"/>
      <c r="L9" s="224"/>
      <c r="M9" s="224"/>
      <c r="N9" s="224"/>
      <c r="O9" s="224"/>
      <c r="P9" s="185"/>
      <c r="Q9" s="225"/>
      <c r="R9" s="182" t="str">
        <f ca="1">IF(ISERROR($V9),"",OFFSET('Smelter Look-up'!$C$4,$V9-4,0)&amp;"")</f>
        <v>Thaisarco</v>
      </c>
      <c r="S9" s="181" t="str">
        <f t="shared" ca="1" si="2"/>
        <v>TH</v>
      </c>
      <c r="T9" s="181" t="str">
        <f ca="1">IF(B9="","",IF(ISERROR(MATCH($J9,SorP!$B$1:$B$6226,0)),"",INDIRECT("'SorP'!$A$"&amp;MATCH($S9&amp;$J9,SorP!C:C,0))))</f>
        <v>TH-83</v>
      </c>
      <c r="U9" s="201"/>
      <c r="V9" s="226">
        <f>IF(C9="",NA(),IF(OR(C9="Smelter not listed",C9="Smelter not yet identified"),MATCH($B9&amp;$D9,'Smelter Look-up'!$J:$J,0),MATCH($B9&amp;$C9,'Smelter Look-up'!$J:$J,0)))</f>
        <v>521</v>
      </c>
      <c r="X9" s="227">
        <f t="shared" ca="1" si="3"/>
        <v>0</v>
      </c>
      <c r="AB9" s="228" t="str">
        <f t="shared" si="4"/>
        <v>TinThaisarco</v>
      </c>
    </row>
    <row r="10" spans="1:34" s="227" customFormat="1" ht="19.95" customHeight="1">
      <c r="A10" s="262"/>
      <c r="B10" s="182" t="s">
        <v>1099</v>
      </c>
      <c r="C10" s="186" t="s">
        <v>2294</v>
      </c>
      <c r="D10" s="230"/>
      <c r="E10" s="182" t="str">
        <f ca="1">IF(ISERROR($V10),"",OFFSET('Smelter Look-up'!$D$4,$V10-4,0)&amp;"")</f>
        <v>CHINA</v>
      </c>
      <c r="F10" s="182" t="str">
        <f ca="1">IF(ISERROR($V10),"",OFFSET('Smelter Look-up'!$E$4,$V10-4,0))</f>
        <v>CID002180</v>
      </c>
      <c r="G10" s="182" t="str">
        <f ca="1">IF(C10=$X$4,IF(ISERROR($V10),"Enter smelter details","RMI"),IF(ISERROR($V10),"",OFFSET('Smelter Look-up'!$F$4,$V10-4,0)))</f>
        <v>RMI</v>
      </c>
      <c r="H10" s="183">
        <f ca="1">IF(ISERROR($V10),"",OFFSET('Smelter Look-up'!$G$4,$V10-4,0))</f>
        <v>0</v>
      </c>
      <c r="I10" s="184" t="str">
        <f ca="1">IF(ISERROR($V10),"",OFFSET('Smelter Look-up'!$H$4,$V10-4,0))</f>
        <v>Gejiu</v>
      </c>
      <c r="J10" s="184" t="str">
        <f ca="1">IF(ISERROR($V10),"",OFFSET('Smelter Look-up'!$I$4,$V10-4,0))</f>
        <v>Yunnan Sheng</v>
      </c>
      <c r="K10" s="224"/>
      <c r="L10" s="224"/>
      <c r="M10" s="224"/>
      <c r="N10" s="224"/>
      <c r="O10" s="224"/>
      <c r="P10" s="185"/>
      <c r="Q10" s="225"/>
      <c r="R10" s="182" t="str">
        <f ca="1">IF(ISERROR($V10),"",OFFSET('Smelter Look-up'!$C$4,$V10-4,0)&amp;"")</f>
        <v>Tin Smelting Branch of Yunnan Tin Co., Ltd.</v>
      </c>
      <c r="S10" s="181" t="str">
        <f t="shared" ca="1" si="2"/>
        <v>CN</v>
      </c>
      <c r="T10" s="181" t="str">
        <f ca="1">IF(B10="","",IF(ISERROR(MATCH($J10,SorP!$B$1:$B$6226,0)),"",INDIRECT("'SorP'!$A$"&amp;MATCH($S10&amp;$J10,SorP!C:C,0))))</f>
        <v>CN-YN</v>
      </c>
      <c r="U10" s="201"/>
      <c r="V10" s="226">
        <f>IF(C10="",NA(),IF(OR(C10="Smelter not listed",C10="Smelter not yet identified"),MATCH($B10&amp;$D10,'Smelter Look-up'!$J:$J,0),MATCH($B10&amp;$C10,'Smelter Look-up'!$J:$J,0)))</f>
        <v>543</v>
      </c>
      <c r="X10" s="227">
        <f t="shared" ca="1" si="3"/>
        <v>0</v>
      </c>
      <c r="AB10" s="228" t="str">
        <f t="shared" si="4"/>
        <v>TinYunnan Tin Company Limited</v>
      </c>
    </row>
    <row r="11" spans="1:34" s="227" customFormat="1" ht="19.95" customHeight="1">
      <c r="A11" s="262"/>
      <c r="B11" s="182" t="s">
        <v>1099</v>
      </c>
      <c r="C11" s="186" t="s">
        <v>47</v>
      </c>
      <c r="D11" s="230"/>
      <c r="E11" s="182" t="str">
        <f ca="1">IF(ISERROR($V11),"",OFFSET('Smelter Look-up'!$D$4,$V11-4,0)&amp;"")</f>
        <v>BRAZIL</v>
      </c>
      <c r="F11" s="182" t="str">
        <f ca="1">IF(ISERROR($V11),"",OFFSET('Smelter Look-up'!$E$4,$V11-4,0))</f>
        <v>CID002036</v>
      </c>
      <c r="G11" s="182" t="str">
        <f ca="1">IF(C11=$X$4,IF(ISERROR($V11),"Enter smelter details","RMI"),IF(ISERROR($V11),"",OFFSET('Smelter Look-up'!$F$4,$V11-4,0)))</f>
        <v>RMI</v>
      </c>
      <c r="H11" s="183">
        <f ca="1">IF(ISERROR($V11),"",OFFSET('Smelter Look-up'!$G$4,$V11-4,0))</f>
        <v>0</v>
      </c>
      <c r="I11" s="184" t="str">
        <f ca="1">IF(ISERROR($V11),"",OFFSET('Smelter Look-up'!$H$4,$V11-4,0))</f>
        <v>Ariquemes</v>
      </c>
      <c r="J11" s="184" t="str">
        <f ca="1">IF(ISERROR($V11),"",OFFSET('Smelter Look-up'!$I$4,$V11-4,0))</f>
        <v>Rondônia</v>
      </c>
      <c r="K11" s="224"/>
      <c r="L11" s="224"/>
      <c r="M11" s="224"/>
      <c r="N11" s="224"/>
      <c r="O11" s="224"/>
      <c r="P11" s="185"/>
      <c r="Q11" s="225"/>
      <c r="R11" s="182" t="str">
        <f ca="1">IF(ISERROR($V11),"",OFFSET('Smelter Look-up'!$C$4,$V11-4,0)&amp;"")</f>
        <v>White Solder Metalurgia e Mineracao Ltda.</v>
      </c>
      <c r="S11" s="181" t="str">
        <f t="shared" ca="1" si="2"/>
        <v>BR</v>
      </c>
      <c r="T11" s="181" t="str">
        <f ca="1">IF(B11="","",IF(ISERROR(MATCH($J11,SorP!$B$1:$B$6226,0)),"",INDIRECT("'SorP'!$A$"&amp;MATCH($S11&amp;$J11,SorP!C:C,0))))</f>
        <v>BR-RO</v>
      </c>
      <c r="U11" s="201"/>
      <c r="V11" s="226">
        <f>IF(C11="",NA(),IF(OR(C11="Smelter not listed",C11="Smelter not yet identified"),MATCH($B11&amp;$D11,'Smelter Look-up'!$J:$J,0),MATCH($B11&amp;$C11,'Smelter Look-up'!$J:$J,0)))</f>
        <v>531</v>
      </c>
      <c r="X11" s="227">
        <f t="shared" ca="1" si="3"/>
        <v>0</v>
      </c>
      <c r="AB11" s="228" t="str">
        <f t="shared" si="4"/>
        <v>TinWhite Solder Metalurgia e Mineração Ltda.</v>
      </c>
    </row>
    <row r="12" spans="1:34" s="227" customFormat="1" ht="19.95" customHeight="1">
      <c r="A12" s="262"/>
      <c r="B12" s="182" t="s">
        <v>1099</v>
      </c>
      <c r="C12" s="186" t="s">
        <v>13713</v>
      </c>
      <c r="D12" s="230"/>
      <c r="E12" s="182" t="str">
        <f ca="1">IF(ISERROR($V12),"",OFFSET('Smelter Look-up'!$D$4,$V12-4,0)&amp;"")</f>
        <v>INDONESIA</v>
      </c>
      <c r="F12" s="182" t="str">
        <f ca="1">IF(ISERROR($V12),"",OFFSET('Smelter Look-up'!$E$4,$V12-4,0))</f>
        <v>CID001482</v>
      </c>
      <c r="G12" s="182" t="str">
        <f ca="1">IF(C12=$X$4,IF(ISERROR($V12),"Enter smelter details","RMI"),IF(ISERROR($V12),"",OFFSET('Smelter Look-up'!$F$4,$V12-4,0)))</f>
        <v>RMI</v>
      </c>
      <c r="H12" s="183">
        <f ca="1">IF(ISERROR($V12),"",OFFSET('Smelter Look-up'!$G$4,$V12-4,0))</f>
        <v>0</v>
      </c>
      <c r="I12" s="184" t="str">
        <f ca="1">IF(ISERROR($V12),"",OFFSET('Smelter Look-up'!$H$4,$V12-4,0))</f>
        <v>Mentok</v>
      </c>
      <c r="J12" s="184" t="str">
        <f ca="1">IF(ISERROR($V12),"",OFFSET('Smelter Look-up'!$I$4,$V12-4,0))</f>
        <v>Kepulauan Bangka Belitung</v>
      </c>
      <c r="K12" s="224"/>
      <c r="L12" s="224"/>
      <c r="M12" s="224"/>
      <c r="N12" s="224"/>
      <c r="O12" s="224"/>
      <c r="P12" s="185"/>
      <c r="Q12" s="225"/>
      <c r="R12" s="182" t="str">
        <f ca="1">IF(ISERROR($V12),"",OFFSET('Smelter Look-up'!$C$4,$V12-4,0)&amp;"")</f>
        <v>PT Timah Tbk Mentok</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510</v>
      </c>
      <c r="X12" s="227">
        <f t="shared" ca="1" si="3"/>
        <v>0</v>
      </c>
      <c r="AB12" s="228" t="str">
        <f t="shared" si="4"/>
        <v>TinPT Timah Tbk Mentok</v>
      </c>
    </row>
    <row r="13" spans="1:34" s="227" customFormat="1" ht="19.95" customHeight="1">
      <c r="A13" s="262"/>
      <c r="B13" s="182" t="s">
        <v>1099</v>
      </c>
      <c r="C13" s="186" t="s">
        <v>1001</v>
      </c>
      <c r="D13" s="230"/>
      <c r="E13" s="182" t="str">
        <f ca="1">IF(ISERROR($V13),"",OFFSET('Smelter Look-up'!$D$4,$V13-4,0)&amp;"")</f>
        <v>INDONESIA</v>
      </c>
      <c r="F13" s="182" t="str">
        <f ca="1">IF(ISERROR($V13),"",OFFSET('Smelter Look-up'!$E$4,$V13-4,0))</f>
        <v>CID001477</v>
      </c>
      <c r="G13" s="182" t="str">
        <f ca="1">IF(C13=$X$4,IF(ISERROR($V13),"Enter smelter details","RMI"),IF(ISERROR($V13),"",OFFSET('Smelter Look-up'!$F$4,$V13-4,0)))</f>
        <v>RMI</v>
      </c>
      <c r="H13" s="183">
        <f ca="1">IF(ISERROR($V13),"",OFFSET('Smelter Look-up'!$G$4,$V13-4,0))</f>
        <v>0</v>
      </c>
      <c r="I13" s="184" t="str">
        <f ca="1">IF(ISERROR($V13),"",OFFSET('Smelter Look-up'!$H$4,$V13-4,0))</f>
        <v>Kundur</v>
      </c>
      <c r="J13" s="184" t="str">
        <f ca="1">IF(ISERROR($V13),"",OFFSET('Smelter Look-up'!$I$4,$V13-4,0))</f>
        <v>Riau</v>
      </c>
      <c r="K13" s="224"/>
      <c r="L13" s="224"/>
      <c r="M13" s="224"/>
      <c r="N13" s="224"/>
      <c r="O13" s="224"/>
      <c r="P13" s="185"/>
      <c r="Q13" s="225"/>
      <c r="R13" s="182" t="str">
        <f ca="1">IF(ISERROR($V13),"",OFFSET('Smelter Look-up'!$C$4,$V13-4,0)&amp;"")</f>
        <v>PT Timah Tbk Kundur</v>
      </c>
      <c r="S13" s="181" t="str">
        <f t="shared" ca="1" si="2"/>
        <v>ID</v>
      </c>
      <c r="T13" s="181" t="str">
        <f ca="1">IF(B13="","",IF(ISERROR(MATCH($J13,SorP!$B$1:$B$6226,0)),"",INDIRECT("'SorP'!$A$"&amp;MATCH($S13&amp;$J13,SorP!C:C,0))))</f>
        <v>ID-RI</v>
      </c>
      <c r="U13" s="201"/>
      <c r="V13" s="226">
        <f>IF(C13="",NA(),IF(OR(C13="Smelter not listed",C13="Smelter not yet identified"),MATCH($B13&amp;$D13,'Smelter Look-up'!$J:$J,0),MATCH($B13&amp;$C13,'Smelter Look-up'!$J:$J,0)))</f>
        <v>508</v>
      </c>
      <c r="X13" s="227">
        <f t="shared" ca="1" si="3"/>
        <v>0</v>
      </c>
      <c r="AB13" s="228" t="str">
        <f t="shared" si="4"/>
        <v>TinPT Tambang Timah</v>
      </c>
    </row>
    <row r="14" spans="1:34" s="227" customFormat="1" ht="19.95" customHeight="1">
      <c r="A14" s="262"/>
      <c r="B14" s="182" t="s">
        <v>1099</v>
      </c>
      <c r="C14" s="186" t="s">
        <v>788</v>
      </c>
      <c r="D14" s="230"/>
      <c r="E14" s="182" t="str">
        <f ca="1">IF(ISERROR($V14),"",OFFSET('Smelter Look-up'!$D$4,$V14-4,0)&amp;"")</f>
        <v>POLAND</v>
      </c>
      <c r="F14" s="182" t="str">
        <f ca="1">IF(ISERROR($V14),"",OFFSET('Smelter Look-up'!$E$4,$V14-4,0))</f>
        <v>CID000468</v>
      </c>
      <c r="G14" s="182" t="str">
        <f ca="1">IF(C14=$X$4,IF(ISERROR($V14),"Enter smelter details","RMI"),IF(ISERROR($V14),"",OFFSET('Smelter Look-up'!$F$4,$V14-4,0)))</f>
        <v>RMI</v>
      </c>
      <c r="H14" s="183">
        <f ca="1">IF(ISERROR($V14),"",OFFSET('Smelter Look-up'!$G$4,$V14-4,0))</f>
        <v>0</v>
      </c>
      <c r="I14" s="184" t="str">
        <f ca="1">IF(ISERROR($V14),"",OFFSET('Smelter Look-up'!$H$4,$V14-4,0))</f>
        <v>Chmielów</v>
      </c>
      <c r="J14" s="184" t="str">
        <f ca="1">IF(ISERROR($V14),"",OFFSET('Smelter Look-up'!$I$4,$V14-4,0))</f>
        <v>Podkarpackie</v>
      </c>
      <c r="K14" s="224"/>
      <c r="L14" s="224"/>
      <c r="M14" s="224"/>
      <c r="N14" s="224"/>
      <c r="O14" s="224"/>
      <c r="P14" s="185"/>
      <c r="Q14" s="225"/>
      <c r="R14" s="182" t="str">
        <f ca="1">IF(ISERROR($V14),"",OFFSET('Smelter Look-up'!$C$4,$V14-4,0)&amp;"")</f>
        <v>Fenix Metals</v>
      </c>
      <c r="S14" s="181" t="str">
        <f t="shared" ca="1" si="2"/>
        <v>PL</v>
      </c>
      <c r="T14" s="181" t="str">
        <f ca="1">IF(B14="","",IF(ISERROR(MATCH($J14,SorP!$B$1:$B$6226,0)),"",INDIRECT("'SorP'!$A$"&amp;MATCH($S14&amp;$J14,SorP!C:C,0))))</f>
        <v>PL-18</v>
      </c>
      <c r="U14" s="201"/>
      <c r="V14" s="226">
        <f>IF(C14="",NA(),IF(OR(C14="Smelter not listed",C14="Smelter not yet identified"),MATCH($B14&amp;$D14,'Smelter Look-up'!$J:$J,0),MATCH($B14&amp;$C14,'Smelter Look-up'!$J:$J,0)))</f>
        <v>437</v>
      </c>
      <c r="X14" s="227">
        <f t="shared" ca="1" si="3"/>
        <v>0</v>
      </c>
      <c r="AB14" s="228" t="str">
        <f t="shared" si="4"/>
        <v>TinFenix Metals</v>
      </c>
    </row>
    <row r="15" spans="1:34" s="227" customFormat="1" ht="19.95" customHeight="1">
      <c r="A15" s="262"/>
      <c r="B15" s="182" t="s">
        <v>1099</v>
      </c>
      <c r="C15" s="186" t="s">
        <v>2099</v>
      </c>
      <c r="D15" s="230"/>
      <c r="E15" s="182" t="str">
        <f ca="1">IF(ISERROR($V15),"",OFFSET('Smelter Look-up'!$D$4,$V15-4,0)&amp;"")</f>
        <v>CHINA</v>
      </c>
      <c r="F15" s="182" t="str">
        <f ca="1">IF(ISERROR($V15),"",OFFSET('Smelter Look-up'!$E$4,$V15-4,0))</f>
        <v>CID000538</v>
      </c>
      <c r="G15" s="182" t="str">
        <f ca="1">IF(C15=$X$4,IF(ISERROR($V15),"Enter smelter details","RMI"),IF(ISERROR($V15),"",OFFSET('Smelter Look-up'!$F$4,$V15-4,0)))</f>
        <v>RMI</v>
      </c>
      <c r="H15" s="183">
        <f ca="1">IF(ISERROR($V15),"",OFFSET('Smelter Look-up'!$G$4,$V15-4,0))</f>
        <v>0</v>
      </c>
      <c r="I15" s="184" t="str">
        <f ca="1">IF(ISERROR($V15),"",OFFSET('Smelter Look-up'!$H$4,$V15-4,0))</f>
        <v>Gejiu</v>
      </c>
      <c r="J15" s="184" t="str">
        <f ca="1">IF(ISERROR($V15),"",OFFSET('Smelter Look-up'!$I$4,$V15-4,0))</f>
        <v>Yunnan Sheng</v>
      </c>
      <c r="K15" s="224"/>
      <c r="L15" s="224"/>
      <c r="M15" s="224"/>
      <c r="N15" s="224"/>
      <c r="O15" s="224"/>
      <c r="P15" s="185"/>
      <c r="Q15" s="225"/>
      <c r="R15" s="182" t="str">
        <f ca="1">IF(ISERROR($V15),"",OFFSET('Smelter Look-up'!$C$4,$V15-4,0)&amp;"")</f>
        <v>Gejiu Non-Ferrous Metal Processing Co., Ltd.</v>
      </c>
      <c r="S15" s="181" t="str">
        <f t="shared" ca="1" si="2"/>
        <v>CN</v>
      </c>
      <c r="T15" s="181" t="str">
        <f ca="1">IF(B15="","",IF(ISERROR(MATCH($J15,SorP!$B$1:$B$6226,0)),"",INDIRECT("'SorP'!$A$"&amp;MATCH($S15&amp;$J15,SorP!C:C,0))))</f>
        <v>CN-YN</v>
      </c>
      <c r="U15" s="201"/>
      <c r="V15" s="226">
        <f>IF(C15="",NA(),IF(OR(C15="Smelter not listed",C15="Smelter not yet identified"),MATCH($B15&amp;$D15,'Smelter Look-up'!$J:$J,0),MATCH($B15&amp;$C15,'Smelter Look-up'!$J:$J,0)))</f>
        <v>443</v>
      </c>
      <c r="X15" s="227">
        <f t="shared" ca="1" si="3"/>
        <v>0</v>
      </c>
      <c r="AB15" s="228" t="str">
        <f t="shared" si="4"/>
        <v>TinGejiu Non-Ferrous Metal Processing Co., Ltd.</v>
      </c>
    </row>
    <row r="16" spans="1:34" s="227" customFormat="1" ht="19.95" customHeight="1">
      <c r="A16" s="262"/>
      <c r="B16" s="182" t="s">
        <v>1099</v>
      </c>
      <c r="C16" s="186" t="s">
        <v>610</v>
      </c>
      <c r="D16" s="230"/>
      <c r="E16" s="182" t="str">
        <f ca="1">IF(ISERROR($V16),"",OFFSET('Smelter Look-up'!$D$4,$V16-4,0)&amp;"")</f>
        <v>INDONESIA</v>
      </c>
      <c r="F16" s="182" t="str">
        <f ca="1">IF(ISERROR($V16),"",OFFSET('Smelter Look-up'!$E$4,$V16-4,0))</f>
        <v>CID001453</v>
      </c>
      <c r="G16" s="182" t="str">
        <f ca="1">IF(C16=$X$4,IF(ISERROR($V16),"Enter smelter details","RMI"),IF(ISERROR($V16),"",OFFSET('Smelter Look-up'!$F$4,$V16-4,0)))</f>
        <v>RMI</v>
      </c>
      <c r="H16" s="183">
        <f ca="1">IF(ISERROR($V16),"",OFFSET('Smelter Look-up'!$G$4,$V16-4,0))</f>
        <v>0</v>
      </c>
      <c r="I16" s="184" t="str">
        <f ca="1">IF(ISERROR($V16),"",OFFSET('Smelter Look-up'!$H$4,$V16-4,0))</f>
        <v>Sungailiat</v>
      </c>
      <c r="J16" s="184" t="str">
        <f ca="1">IF(ISERROR($V16),"",OFFSET('Smelter Look-up'!$I$4,$V16-4,0))</f>
        <v>Kepulauan Bangka Belitung</v>
      </c>
      <c r="K16" s="224"/>
      <c r="L16" s="224"/>
      <c r="M16" s="224"/>
      <c r="N16" s="224"/>
      <c r="O16" s="224"/>
      <c r="P16" s="185"/>
      <c r="Q16" s="225"/>
      <c r="R16" s="182" t="str">
        <f ca="1">IF(ISERROR($V16),"",OFFSET('Smelter Look-up'!$C$4,$V16-4,0)&amp;"")</f>
        <v>PT Mitra Stania Prima</v>
      </c>
      <c r="S16" s="181" t="str">
        <f t="shared" ca="1" si="2"/>
        <v>ID</v>
      </c>
      <c r="T16" s="181" t="str">
        <f ca="1">IF(B16="","",IF(ISERROR(MATCH($J16,SorP!$B$1:$B$6226,0)),"",INDIRECT("'SorP'!$A$"&amp;MATCH($S16&amp;$J16,SorP!C:C,0))))</f>
        <v>ID-BB</v>
      </c>
      <c r="U16" s="201"/>
      <c r="V16" s="226">
        <f>IF(C16="",NA(),IF(OR(C16="Smelter not listed",C16="Smelter not yet identified"),MATCH($B16&amp;$D16,'Smelter Look-up'!$J:$J,0),MATCH($B16&amp;$C16,'Smelter Look-up'!$J:$J,0)))</f>
        <v>502</v>
      </c>
      <c r="X16" s="227">
        <f t="shared" ca="1" si="3"/>
        <v>0</v>
      </c>
      <c r="AB16" s="228" t="str">
        <f t="shared" si="4"/>
        <v>TinPT Mitra Stania Prima</v>
      </c>
    </row>
    <row r="17" spans="1:28" s="227" customFormat="1" ht="19.95" customHeight="1">
      <c r="A17" s="262"/>
      <c r="B17" s="182" t="s">
        <v>1099</v>
      </c>
      <c r="C17" s="186" t="s">
        <v>610</v>
      </c>
      <c r="D17" s="230"/>
      <c r="E17" s="182" t="str">
        <f ca="1">IF(ISERROR($V17),"",OFFSET('Smelter Look-up'!$D$4,$V17-4,0)&amp;"")</f>
        <v>INDONESIA</v>
      </c>
      <c r="F17" s="182" t="str">
        <f ca="1">IF(ISERROR($V17),"",OFFSET('Smelter Look-up'!$E$4,$V17-4,0))</f>
        <v>CID001453</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4"/>
      <c r="L17" s="224"/>
      <c r="M17" s="224"/>
      <c r="N17" s="224"/>
      <c r="O17" s="224"/>
      <c r="P17" s="185"/>
      <c r="Q17" s="225"/>
      <c r="R17" s="182" t="str">
        <f ca="1">IF(ISERROR($V17),"",OFFSET('Smelter Look-up'!$C$4,$V17-4,0)&amp;"")</f>
        <v>PT Mitra Stania Prima</v>
      </c>
      <c r="S17" s="181" t="str">
        <f t="shared" ca="1" si="2"/>
        <v>ID</v>
      </c>
      <c r="T17" s="181" t="str">
        <f ca="1">IF(B17="","",IF(ISERROR(MATCH($J17,SorP!$B$1:$B$6226,0)),"",INDIRECT("'SorP'!$A$"&amp;MATCH($S17&amp;$J17,SorP!C:C,0))))</f>
        <v>ID-BB</v>
      </c>
      <c r="U17" s="201"/>
      <c r="V17" s="226">
        <f>IF(C17="",NA(),IF(OR(C17="Smelter not listed",C17="Smelter not yet identified"),MATCH($B17&amp;$D17,'Smelter Look-up'!$J:$J,0),MATCH($B17&amp;$C17,'Smelter Look-up'!$J:$J,0)))</f>
        <v>502</v>
      </c>
      <c r="X17" s="227">
        <f t="shared" ca="1" si="3"/>
        <v>0</v>
      </c>
      <c r="AB17" s="228" t="str">
        <f t="shared" si="4"/>
        <v>TinPT Mitra Stania Prima</v>
      </c>
    </row>
    <row r="18" spans="1:28" s="227" customFormat="1" ht="19.95" customHeight="1">
      <c r="A18" s="181"/>
      <c r="B18" s="182" t="s">
        <v>1099</v>
      </c>
      <c r="C18" s="186" t="s">
        <v>761</v>
      </c>
      <c r="D18" s="230"/>
      <c r="E18" s="182" t="str">
        <f ca="1">IF(ISERROR($V18),"",OFFSET('Smelter Look-up'!$D$4,$V18-4,0)&amp;"")</f>
        <v>TAIWAN, PROVINCE OF CHINA</v>
      </c>
      <c r="F18" s="182" t="str">
        <f ca="1">IF(ISERROR($V18),"",OFFSET('Smelter Look-up'!$E$4,$V18-4,0))</f>
        <v>CID001539</v>
      </c>
      <c r="G18" s="182" t="str">
        <f ca="1">IF(C18=$X$4,IF(ISERROR($V18),"Enter smelter details","RMI"),IF(ISERROR($V18),"",OFFSET('Smelter Look-up'!$F$4,$V18-4,0)))</f>
        <v>RMI</v>
      </c>
      <c r="H18" s="183">
        <f ca="1">IF(ISERROR($V18),"",OFFSET('Smelter Look-up'!$G$4,$V18-4,0))</f>
        <v>0</v>
      </c>
      <c r="I18" s="184" t="str">
        <f ca="1">IF(ISERROR($V18),"",OFFSET('Smelter Look-up'!$H$4,$V18-4,0))</f>
        <v>Longtan Shiang Taoyuan</v>
      </c>
      <c r="J18" s="184" t="str">
        <f ca="1">IF(ISERROR($V18),"",OFFSET('Smelter Look-up'!$I$4,$V18-4,0))</f>
        <v>Taoyuan</v>
      </c>
      <c r="K18" s="224"/>
      <c r="L18" s="224"/>
      <c r="M18" s="224"/>
      <c r="N18" s="224"/>
      <c r="O18" s="224"/>
      <c r="P18" s="185"/>
      <c r="Q18" s="225"/>
      <c r="R18" s="182" t="str">
        <f ca="1">IF(ISERROR($V18),"",OFFSET('Smelter Look-up'!$C$4,$V18-4,0)&amp;"")</f>
        <v>Rui Da Hung</v>
      </c>
      <c r="S18" s="181" t="str">
        <f t="shared" ca="1" si="2"/>
        <v>TW</v>
      </c>
      <c r="T18" s="181" t="str">
        <f ca="1">IF(B18="","",IF(ISERROR(MATCH($J18,SorP!$B$1:$B$6226,0)),"",INDIRECT("'SorP'!$A$"&amp;MATCH($S18&amp;$J18,SorP!C:C,0))))</f>
        <v>TW-TAO</v>
      </c>
      <c r="U18" s="201"/>
      <c r="V18" s="226">
        <f>IF(C18="",NA(),IF(OR(C18="Smelter not listed",C18="Smelter not yet identified"),MATCH($B18&amp;$D18,'Smelter Look-up'!$J:$J,0),MATCH($B18&amp;$C18,'Smelter Look-up'!$J:$J,0)))</f>
        <v>515</v>
      </c>
      <c r="X18" s="227">
        <f t="shared" ca="1" si="3"/>
        <v>0</v>
      </c>
      <c r="AB18" s="228" t="str">
        <f t="shared" si="4"/>
        <v>TinRui Da Hung</v>
      </c>
    </row>
    <row r="19" spans="1:28" s="227" customFormat="1" ht="88.2">
      <c r="A19" s="181"/>
      <c r="B19" s="182" t="s">
        <v>1098</v>
      </c>
      <c r="C19" s="186" t="s">
        <v>49</v>
      </c>
      <c r="D19" s="230"/>
      <c r="E19" s="182" t="str">
        <f ca="1">IF(ISERROR($V19),"",OFFSET('Smelter Look-up'!$D$4,$V19-4,0)&amp;"")</f>
        <v>GERMANY</v>
      </c>
      <c r="F19" s="182" t="str">
        <f ca="1">IF(ISERROR($V19),"",OFFSET('Smelter Look-up'!$E$4,$V19-4,0))</f>
        <v>CID000035</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Agosi AG</v>
      </c>
      <c r="S19" s="181" t="str">
        <f t="shared" ca="1" si="2"/>
        <v>DE</v>
      </c>
      <c r="T19" s="181" t="str">
        <f ca="1">IF(B19="","",IF(ISERROR(MATCH($J19,SorP!$B$1:$B$6226,0)),"",INDIRECT("'SorP'!$A$"&amp;MATCH($S19&amp;$J19,SorP!C:C,0))))</f>
        <v>DE-BW</v>
      </c>
      <c r="U19" s="201"/>
      <c r="V19" s="226">
        <f>IF(C19="",NA(),IF(OR(C19="Smelter not listed",C19="Smelter not yet identified"),MATCH($B19&amp;$D19,'Smelter Look-up'!$J:$J,0),MATCH($B19&amp;$C19,'Smelter Look-up'!$J:$J,0)))</f>
        <v>19</v>
      </c>
      <c r="X19" s="227">
        <f t="shared" ca="1" si="3"/>
        <v>0</v>
      </c>
      <c r="AB19" s="228" t="str">
        <f t="shared" si="4"/>
        <v>GoldAllgemeine Gold-und Silberscheideanstalt A.G.</v>
      </c>
    </row>
    <row r="20" spans="1:28" s="227" customFormat="1" ht="88.2">
      <c r="A20" s="181"/>
      <c r="B20" s="182" t="s">
        <v>1098</v>
      </c>
      <c r="C20" s="186" t="s">
        <v>12375</v>
      </c>
      <c r="D20" s="230"/>
      <c r="E20" s="182" t="str">
        <f ca="1">IF(ISERROR($V20),"",OFFSET('Smelter Look-up'!$D$4,$V20-4,0)&amp;"")</f>
        <v>BRAZIL</v>
      </c>
      <c r="F20" s="182" t="str">
        <f ca="1">IF(ISERROR($V20),"",OFFSET('Smelter Look-up'!$E$4,$V20-4,0))</f>
        <v>CID000058</v>
      </c>
      <c r="G20" s="182" t="str">
        <f ca="1">IF(C20=$X$4,IF(ISERROR($V20),"Enter smelter details","RMI"),IF(ISERROR($V20),"",OFFSET('Smelter Look-up'!$F$4,$V20-4,0)))</f>
        <v>RMI</v>
      </c>
      <c r="H20" s="183">
        <f ca="1">IF(ISERROR($V20),"",OFFSET('Smelter Look-up'!$G$4,$V20-4,0))</f>
        <v>0</v>
      </c>
      <c r="I20" s="184" t="str">
        <f ca="1">IF(ISERROR($V20),"",OFFSET('Smelter Look-up'!$H$4,$V20-4,0))</f>
        <v>Nova Lima</v>
      </c>
      <c r="J20" s="184" t="str">
        <f ca="1">IF(ISERROR($V20),"",OFFSET('Smelter Look-up'!$I$4,$V20-4,0))</f>
        <v>Minas Gerais</v>
      </c>
      <c r="K20" s="224"/>
      <c r="L20" s="224"/>
      <c r="M20" s="224"/>
      <c r="N20" s="224"/>
      <c r="O20" s="224"/>
      <c r="P20" s="185"/>
      <c r="Q20" s="225"/>
      <c r="R20" s="182" t="str">
        <f ca="1">IF(ISERROR($V20),"",OFFSET('Smelter Look-up'!$C$4,$V20-4,0)&amp;"")</f>
        <v>AngloGold Ashanti Corrego do Sitio Mineracao</v>
      </c>
      <c r="S20" s="181" t="str">
        <f t="shared" ca="1" si="2"/>
        <v>BR</v>
      </c>
      <c r="T20" s="181" t="str">
        <f ca="1">IF(B20="","",IF(ISERROR(MATCH($J20,SorP!$B$1:$B$6226,0)),"",INDIRECT("'SorP'!$A$"&amp;MATCH($S20&amp;$J20,SorP!C:C,0))))</f>
        <v>BR-MG</v>
      </c>
      <c r="U20" s="201"/>
      <c r="V20" s="226">
        <f>IF(C20="",NA(),IF(OR(C20="Smelter not listed",C20="Smelter not yet identified"),MATCH($B20&amp;$D20,'Smelter Look-up'!$J:$J,0),MATCH($B20&amp;$C20,'Smelter Look-up'!$J:$J,0)))</f>
        <v>23</v>
      </c>
      <c r="X20" s="227">
        <f t="shared" ca="1" si="3"/>
        <v>0</v>
      </c>
      <c r="AB20" s="228" t="str">
        <f t="shared" si="4"/>
        <v>GoldAngloGold Ashanti Corrego do Sitio Mineracao</v>
      </c>
    </row>
    <row r="21" spans="1:28" s="227" customFormat="1" ht="50.4">
      <c r="A21" s="181"/>
      <c r="B21" s="182" t="s">
        <v>1098</v>
      </c>
      <c r="C21" s="186" t="s">
        <v>2236</v>
      </c>
      <c r="D21" s="230"/>
      <c r="E21" s="182" t="str">
        <f ca="1">IF(ISERROR($V21),"",OFFSET('Smelter Look-up'!$D$4,$V21-4,0)&amp;"")</f>
        <v>SWITZERLAND</v>
      </c>
      <c r="F21" s="182" t="str">
        <f ca="1">IF(ISERROR($V21),"",OFFSET('Smelter Look-up'!$E$4,$V21-4,0))</f>
        <v>CID000077</v>
      </c>
      <c r="G21" s="182" t="str">
        <f ca="1">IF(C21=$X$4,IF(ISERROR($V21),"Enter smelter details","RMI"),IF(ISERROR($V21),"",OFFSET('Smelter Look-up'!$F$4,$V21-4,0)))</f>
        <v>RMI</v>
      </c>
      <c r="H21" s="183">
        <f ca="1">IF(ISERROR($V21),"",OFFSET('Smelter Look-up'!$G$4,$V21-4,0))</f>
        <v>0</v>
      </c>
      <c r="I21" s="184" t="str">
        <f ca="1">IF(ISERROR($V21),"",OFFSET('Smelter Look-up'!$H$4,$V21-4,0))</f>
        <v>Mendrisio</v>
      </c>
      <c r="J21" s="184" t="str">
        <f ca="1">IF(ISERROR($V21),"",OFFSET('Smelter Look-up'!$I$4,$V21-4,0))</f>
        <v>Ticino</v>
      </c>
      <c r="K21" s="224"/>
      <c r="L21" s="224"/>
      <c r="M21" s="224"/>
      <c r="N21" s="224"/>
      <c r="O21" s="224"/>
      <c r="P21" s="185"/>
      <c r="Q21" s="225"/>
      <c r="R21" s="182" t="str">
        <f ca="1">IF(ISERROR($V21),"",OFFSET('Smelter Look-up'!$C$4,$V21-4,0)&amp;"")</f>
        <v>Argor-Heraeus S.A.</v>
      </c>
      <c r="S21" s="181" t="str">
        <f t="shared" ca="1" si="2"/>
        <v>CH</v>
      </c>
      <c r="T21" s="181" t="str">
        <f ca="1">IF(B21="","",IF(ISERROR(MATCH($J21,SorP!$B$1:$B$6226,0)),"",INDIRECT("'SorP'!$A$"&amp;MATCH($S21&amp;$J21,SorP!C:C,0))))</f>
        <v>CH-TI</v>
      </c>
      <c r="U21" s="201"/>
      <c r="V21" s="226">
        <f>IF(C21="",NA(),IF(OR(C21="Smelter not listed",C21="Smelter not yet identified"),MATCH($B21&amp;$D21,'Smelter Look-up'!$J:$J,0),MATCH($B21&amp;$C21,'Smelter Look-up'!$J:$J,0)))</f>
        <v>28</v>
      </c>
      <c r="X21" s="227">
        <f t="shared" ca="1" si="3"/>
        <v>0</v>
      </c>
      <c r="AB21" s="228" t="str">
        <f t="shared" si="4"/>
        <v>GoldArgor-Heraeus S.A.</v>
      </c>
    </row>
    <row r="22" spans="1:28" s="227" customFormat="1" ht="25.2">
      <c r="A22" s="181"/>
      <c r="B22" s="182" t="s">
        <v>1098</v>
      </c>
      <c r="C22" s="186" t="s">
        <v>1191</v>
      </c>
      <c r="D22" s="230"/>
      <c r="E22" s="182" t="str">
        <f ca="1">IF(ISERROR($V22),"",OFFSET('Smelter Look-up'!$D$4,$V22-4,0)&amp;"")</f>
        <v>GERMANY</v>
      </c>
      <c r="F22" s="182" t="str">
        <f ca="1">IF(ISERROR($V22),"",OFFSET('Smelter Look-up'!$E$4,$V22-4,0))</f>
        <v>CID000113</v>
      </c>
      <c r="G22" s="182" t="str">
        <f ca="1">IF(C22=$X$4,IF(ISERROR($V22),"Enter smelter details","RMI"),IF(ISERROR($V22),"",OFFSET('Smelter Look-up'!$F$4,$V22-4,0)))</f>
        <v>RMI</v>
      </c>
      <c r="H22" s="183">
        <f ca="1">IF(ISERROR($V22),"",OFFSET('Smelter Look-up'!$G$4,$V22-4,0))</f>
        <v>0</v>
      </c>
      <c r="I22" s="184" t="str">
        <f ca="1">IF(ISERROR($V22),"",OFFSET('Smelter Look-up'!$H$4,$V22-4,0))</f>
        <v>Hamburg</v>
      </c>
      <c r="J22" s="184" t="str">
        <f ca="1">IF(ISERROR($V22),"",OFFSET('Smelter Look-up'!$I$4,$V22-4,0))</f>
        <v>Hamburg</v>
      </c>
      <c r="K22" s="224"/>
      <c r="L22" s="224"/>
      <c r="M22" s="224"/>
      <c r="N22" s="224"/>
      <c r="O22" s="224"/>
      <c r="P22" s="185"/>
      <c r="Q22" s="225"/>
      <c r="R22" s="182" t="str">
        <f ca="1">IF(ISERROR($V22),"",OFFSET('Smelter Look-up'!$C$4,$V22-4,0)&amp;"")</f>
        <v>Aurubis AG</v>
      </c>
      <c r="S22" s="181" t="str">
        <f t="shared" ca="1" si="2"/>
        <v>DE</v>
      </c>
      <c r="T22" s="181" t="str">
        <f ca="1">IF(B22="","",IF(ISERROR(MATCH($J22,SorP!$B$1:$B$6226,0)),"",INDIRECT("'SorP'!$A$"&amp;MATCH($S22&amp;$J22,SorP!C:C,0))))</f>
        <v>DE-HH</v>
      </c>
      <c r="U22" s="201"/>
      <c r="V22" s="226">
        <f>IF(C22="",NA(),IF(OR(C22="Smelter not listed",C22="Smelter not yet identified"),MATCH($B22&amp;$D22,'Smelter Look-up'!$J:$J,0),MATCH($B22&amp;$C22,'Smelter Look-up'!$J:$J,0)))</f>
        <v>39</v>
      </c>
      <c r="X22" s="227">
        <f t="shared" ca="1" si="3"/>
        <v>0</v>
      </c>
      <c r="AB22" s="228" t="str">
        <f t="shared" si="4"/>
        <v>GoldAurubis AG</v>
      </c>
    </row>
    <row r="23" spans="1:28" s="227" customFormat="1" ht="126">
      <c r="A23" s="181"/>
      <c r="B23" s="182" t="s">
        <v>1098</v>
      </c>
      <c r="C23" s="186" t="s">
        <v>875</v>
      </c>
      <c r="D23" s="230"/>
      <c r="E23" s="182" t="str">
        <f ca="1">IF(ISERROR($V23),"",OFFSET('Smelter Look-up'!$D$4,$V23-4,0)&amp;"")</f>
        <v>PHILIPPINES</v>
      </c>
      <c r="F23" s="182" t="str">
        <f ca="1">IF(ISERROR($V23),"",OFFSET('Smelter Look-up'!$E$4,$V23-4,0))</f>
        <v>CID000128</v>
      </c>
      <c r="G23" s="182" t="str">
        <f ca="1">IF(C23=$X$4,IF(ISERROR($V23),"Enter smelter details","RMI"),IF(ISERROR($V23),"",OFFSET('Smelter Look-up'!$F$4,$V23-4,0)))</f>
        <v>RMI</v>
      </c>
      <c r="H23" s="183">
        <f ca="1">IF(ISERROR($V23),"",OFFSET('Smelter Look-up'!$G$4,$V23-4,0))</f>
        <v>0</v>
      </c>
      <c r="I23" s="184" t="str">
        <f ca="1">IF(ISERROR($V23),"",OFFSET('Smelter Look-up'!$H$4,$V23-4,0))</f>
        <v>Quezon City</v>
      </c>
      <c r="J23" s="184" t="str">
        <f ca="1">IF(ISERROR($V23),"",OFFSET('Smelter Look-up'!$I$4,$V23-4,0))</f>
        <v>Rizal</v>
      </c>
      <c r="K23" s="224"/>
      <c r="L23" s="224"/>
      <c r="M23" s="224"/>
      <c r="N23" s="224"/>
      <c r="O23" s="224"/>
      <c r="P23" s="185"/>
      <c r="Q23" s="225"/>
      <c r="R23" s="182" t="str">
        <f ca="1">IF(ISERROR($V23),"",OFFSET('Smelter Look-up'!$C$4,$V23-4,0)&amp;"")</f>
        <v>Bangko Sentral ng Pilipinas (Central Bank of the Philippines)</v>
      </c>
      <c r="S23" s="181" t="str">
        <f t="shared" ca="1" si="2"/>
        <v>PH</v>
      </c>
      <c r="T23" s="181" t="str">
        <f ca="1">IF(B23="","",IF(ISERROR(MATCH($J23,SorP!$B$1:$B$6226,0)),"",INDIRECT("'SorP'!$A$"&amp;MATCH($S23&amp;$J23,SorP!C:C,0))))</f>
        <v>PH-RIZ</v>
      </c>
      <c r="U23" s="201"/>
      <c r="V23" s="226">
        <f>IF(C23="",NA(),IF(OR(C23="Smelter not listed",C23="Smelter not yet identified"),MATCH($B23&amp;$D23,'Smelter Look-up'!$J:$J,0),MATCH($B23&amp;$C23,'Smelter Look-up'!$J:$J,0)))</f>
        <v>43</v>
      </c>
      <c r="X23" s="227">
        <f t="shared" ca="1" si="3"/>
        <v>0</v>
      </c>
      <c r="AB23" s="228" t="str">
        <f t="shared" si="4"/>
        <v>GoldBangko Sentral ng Pilipinas (Central Bank of the Philippines)</v>
      </c>
    </row>
    <row r="24" spans="1:28" s="227" customFormat="1" ht="50.4">
      <c r="A24" s="181"/>
      <c r="B24" s="182" t="s">
        <v>1098</v>
      </c>
      <c r="C24" s="186" t="s">
        <v>15597</v>
      </c>
      <c r="D24" s="230"/>
      <c r="E24" s="182" t="str">
        <f ca="1">IF(ISERROR($V24),"",OFFSET('Smelter Look-up'!$D$4,$V24-4,0)&amp;"")</f>
        <v>SWEDEN</v>
      </c>
      <c r="F24" s="182" t="str">
        <f ca="1">IF(ISERROR($V24),"",OFFSET('Smelter Look-up'!$E$4,$V24-4,0))</f>
        <v>CID000157</v>
      </c>
      <c r="G24" s="182" t="str">
        <f ca="1">IF(C24=$X$4,IF(ISERROR($V24),"Enter smelter details","RMI"),IF(ISERROR($V24),"",OFFSET('Smelter Look-up'!$F$4,$V24-4,0)))</f>
        <v>RMI</v>
      </c>
      <c r="H24" s="183">
        <f ca="1">IF(ISERROR($V24),"",OFFSET('Smelter Look-up'!$G$4,$V24-4,0))</f>
        <v>0</v>
      </c>
      <c r="I24" s="184" t="str">
        <f ca="1">IF(ISERROR($V24),"",OFFSET('Smelter Look-up'!$H$4,$V24-4,0))</f>
        <v>Skelleftehamn</v>
      </c>
      <c r="J24" s="184" t="str">
        <f ca="1">IF(ISERROR($V24),"",OFFSET('Smelter Look-up'!$I$4,$V24-4,0))</f>
        <v>Västerbottens län [SE-24]</v>
      </c>
      <c r="K24" s="224"/>
      <c r="L24" s="224"/>
      <c r="M24" s="224"/>
      <c r="N24" s="224"/>
      <c r="O24" s="224"/>
      <c r="P24" s="185"/>
      <c r="Q24" s="225"/>
      <c r="R24" s="182" t="str">
        <f ca="1">IF(ISERROR($V24),"",OFFSET('Smelter Look-up'!$C$4,$V24-4,0)&amp;"")</f>
        <v>Boliden Ronnskar</v>
      </c>
      <c r="S24" s="181" t="str">
        <f t="shared" ca="1" si="2"/>
        <v>SE</v>
      </c>
      <c r="T24" s="181" t="str">
        <f ca="1">IF(B24="","",IF(ISERROR(MATCH($J24,SorP!$B$1:$B$6226,0)),"",INDIRECT("'SorP'!$A$"&amp;MATCH($S24&amp;$J24,SorP!C:C,0))))</f>
        <v>SE-AC</v>
      </c>
      <c r="U24" s="201"/>
      <c r="V24" s="226">
        <f>IF(C24="",NA(),IF(OR(C24="Smelter not listed",C24="Smelter not yet identified"),MATCH($B24&amp;$D24,'Smelter Look-up'!$J:$J,0),MATCH($B24&amp;$C24,'Smelter Look-up'!$J:$J,0)))</f>
        <v>44</v>
      </c>
      <c r="X24" s="227">
        <f t="shared" ca="1" si="3"/>
        <v>0</v>
      </c>
      <c r="AB24" s="228" t="str">
        <f t="shared" si="4"/>
        <v>GoldBoliden Ronnskar</v>
      </c>
    </row>
    <row r="25" spans="1:28" s="227" customFormat="1" ht="50.4">
      <c r="A25" s="181"/>
      <c r="B25" s="182" t="s">
        <v>1098</v>
      </c>
      <c r="C25" s="186" t="s">
        <v>644</v>
      </c>
      <c r="D25" s="230"/>
      <c r="E25" s="182" t="str">
        <f ca="1">IF(ISERROR($V25),"",OFFSET('Smelter Look-up'!$D$4,$V25-4,0)&amp;"")</f>
        <v>GERMANY</v>
      </c>
      <c r="F25" s="182" t="str">
        <f ca="1">IF(ISERROR($V25),"",OFFSET('Smelter Look-up'!$E$4,$V25-4,0))</f>
        <v>CID000176</v>
      </c>
      <c r="G25" s="182" t="str">
        <f ca="1">IF(C25=$X$4,IF(ISERROR($V25),"Enter smelter details","RMI"),IF(ISERROR($V25),"",OFFSET('Smelter Look-up'!$F$4,$V25-4,0)))</f>
        <v>RMI</v>
      </c>
      <c r="H25" s="183">
        <f ca="1">IF(ISERROR($V25),"",OFFSET('Smelter Look-up'!$G$4,$V25-4,0))</f>
        <v>0</v>
      </c>
      <c r="I25" s="184" t="str">
        <f ca="1">IF(ISERROR($V25),"",OFFSET('Smelter Look-up'!$H$4,$V25-4,0))</f>
        <v>Pforzheim</v>
      </c>
      <c r="J25" s="184" t="str">
        <f ca="1">IF(ISERROR($V25),"",OFFSET('Smelter Look-up'!$I$4,$V25-4,0))</f>
        <v>Baden-Württemberg</v>
      </c>
      <c r="K25" s="224"/>
      <c r="L25" s="224"/>
      <c r="M25" s="224"/>
      <c r="N25" s="224"/>
      <c r="O25" s="224"/>
      <c r="P25" s="185"/>
      <c r="Q25" s="225"/>
      <c r="R25" s="182" t="str">
        <f ca="1">IF(ISERROR($V25),"",OFFSET('Smelter Look-up'!$C$4,$V25-4,0)&amp;"")</f>
        <v>C. Hafner GmbH + Co. KG</v>
      </c>
      <c r="S25" s="181" t="str">
        <f t="shared" ca="1" si="2"/>
        <v>DE</v>
      </c>
      <c r="T25" s="181" t="str">
        <f ca="1">IF(B25="","",IF(ISERROR(MATCH($J25,SorP!$B$1:$B$6226,0)),"",INDIRECT("'SorP'!$A$"&amp;MATCH($S25&amp;$J25,SorP!C:C,0))))</f>
        <v>DE-BW</v>
      </c>
      <c r="U25" s="201"/>
      <c r="V25" s="226">
        <f>IF(C25="",NA(),IF(OR(C25="Smelter not listed",C25="Smelter not yet identified"),MATCH($B25&amp;$D25,'Smelter Look-up'!$J:$J,0),MATCH($B25&amp;$C25,'Smelter Look-up'!$J:$J,0)))</f>
        <v>45</v>
      </c>
      <c r="X25" s="227">
        <f t="shared" ca="1" si="3"/>
        <v>0</v>
      </c>
      <c r="AB25" s="228" t="str">
        <f t="shared" si="4"/>
        <v>GoldC. Hafner GmbH + Co. KG</v>
      </c>
    </row>
    <row r="26" spans="1:28" s="227" customFormat="1" ht="37.799999999999997">
      <c r="A26" s="181"/>
      <c r="B26" s="182" t="s">
        <v>1098</v>
      </c>
      <c r="C26" s="186" t="s">
        <v>50</v>
      </c>
      <c r="D26" s="230"/>
      <c r="E26" s="182" t="str">
        <f ca="1">IF(ISERROR($V26),"",OFFSET('Smelter Look-up'!$D$4,$V26-4,0)&amp;"")</f>
        <v>ITALY</v>
      </c>
      <c r="F26" s="182" t="str">
        <f ca="1">IF(ISERROR($V26),"",OFFSET('Smelter Look-up'!$E$4,$V26-4,0))</f>
        <v>CID000233</v>
      </c>
      <c r="G26" s="182" t="str">
        <f ca="1">IF(C26=$X$4,IF(ISERROR($V26),"Enter smelter details","RMI"),IF(ISERROR($V26),"",OFFSET('Smelter Look-up'!$F$4,$V26-4,0)))</f>
        <v>RMI</v>
      </c>
      <c r="H26" s="183">
        <f ca="1">IF(ISERROR($V26),"",OFFSET('Smelter Look-up'!$G$4,$V26-4,0))</f>
        <v>0</v>
      </c>
      <c r="I26" s="184" t="str">
        <f ca="1">IF(ISERROR($V26),"",OFFSET('Smelter Look-up'!$H$4,$V26-4,0))</f>
        <v>Arezzo</v>
      </c>
      <c r="J26" s="184" t="str">
        <f ca="1">IF(ISERROR($V26),"",OFFSET('Smelter Look-up'!$I$4,$V26-4,0))</f>
        <v>Toscana</v>
      </c>
      <c r="K26" s="224"/>
      <c r="L26" s="224"/>
      <c r="M26" s="224"/>
      <c r="N26" s="224"/>
      <c r="O26" s="224"/>
      <c r="P26" s="185"/>
      <c r="Q26" s="225"/>
      <c r="R26" s="182" t="str">
        <f ca="1">IF(ISERROR($V26),"",OFFSET('Smelter Look-up'!$C$4,$V26-4,0)&amp;"")</f>
        <v>Chimet S.p.A.</v>
      </c>
      <c r="S26" s="181" t="str">
        <f t="shared" ca="1" si="2"/>
        <v>IT</v>
      </c>
      <c r="T26" s="181" t="str">
        <f ca="1">IF(B26="","",IF(ISERROR(MATCH($J26,SorP!$B$1:$B$6226,0)),"",INDIRECT("'SorP'!$A$"&amp;MATCH($S26&amp;$J26,SorP!C:C,0))))</f>
        <v>IT-52</v>
      </c>
      <c r="U26" s="201"/>
      <c r="V26" s="226">
        <f>IF(C26="",NA(),IF(OR(C26="Smelter not listed",C26="Smelter not yet identified"),MATCH($B26&amp;$D26,'Smelter Look-up'!$J:$J,0),MATCH($B26&amp;$C26,'Smelter Look-up'!$J:$J,0)))</f>
        <v>56</v>
      </c>
      <c r="X26" s="227">
        <f t="shared" ca="1" si="3"/>
        <v>0</v>
      </c>
      <c r="AB26" s="228" t="str">
        <f t="shared" si="4"/>
        <v>GoldChimet S.p.A.</v>
      </c>
    </row>
    <row r="27" spans="1:28" s="227" customFormat="1" ht="25.2">
      <c r="A27" s="181"/>
      <c r="B27" s="182" t="s">
        <v>1098</v>
      </c>
      <c r="C27" s="186" t="s">
        <v>877</v>
      </c>
      <c r="D27" s="230"/>
      <c r="E27" s="182" t="str">
        <f ca="1">IF(ISERROR($V27),"",OFFSET('Smelter Look-up'!$D$4,$V27-4,0)&amp;"")</f>
        <v>JAPAN</v>
      </c>
      <c r="F27" s="182" t="str">
        <f ca="1">IF(ISERROR($V27),"",OFFSET('Smelter Look-up'!$E$4,$V27-4,0))</f>
        <v>CID000401</v>
      </c>
      <c r="G27" s="182" t="str">
        <f ca="1">IF(C27=$X$4,IF(ISERROR($V27),"Enter smelter details","RMI"),IF(ISERROR($V27),"",OFFSET('Smelter Look-up'!$F$4,$V27-4,0)))</f>
        <v>RMI</v>
      </c>
      <c r="H27" s="183">
        <f ca="1">IF(ISERROR($V27),"",OFFSET('Smelter Look-up'!$G$4,$V27-4,0))</f>
        <v>0</v>
      </c>
      <c r="I27" s="184" t="str">
        <f ca="1">IF(ISERROR($V27),"",OFFSET('Smelter Look-up'!$H$4,$V27-4,0))</f>
        <v>Kosaka</v>
      </c>
      <c r="J27" s="184" t="str">
        <f ca="1">IF(ISERROR($V27),"",OFFSET('Smelter Look-up'!$I$4,$V27-4,0))</f>
        <v>Akita</v>
      </c>
      <c r="K27" s="224"/>
      <c r="L27" s="224"/>
      <c r="M27" s="224"/>
      <c r="N27" s="224"/>
      <c r="O27" s="224"/>
      <c r="P27" s="185"/>
      <c r="Q27" s="225"/>
      <c r="R27" s="182" t="str">
        <f ca="1">IF(ISERROR($V27),"",OFFSET('Smelter Look-up'!$C$4,$V27-4,0)&amp;"")</f>
        <v>Dowa</v>
      </c>
      <c r="S27" s="181" t="str">
        <f t="shared" ca="1" si="2"/>
        <v>JP</v>
      </c>
      <c r="T27" s="181" t="str">
        <f ca="1">IF(B27="","",IF(ISERROR(MATCH($J27,SorP!$B$1:$B$6226,0)),"",INDIRECT("'SorP'!$A$"&amp;MATCH($S27&amp;$J27,SorP!C:C,0))))</f>
        <v>JP-05</v>
      </c>
      <c r="U27" s="201"/>
      <c r="V27" s="226">
        <f>IF(C27="",NA(),IF(OR(C27="Smelter not listed",C27="Smelter not yet identified"),MATCH($B27&amp;$D27,'Smelter Look-up'!$J:$J,0),MATCH($B27&amp;$C27,'Smelter Look-up'!$J:$J,0)))</f>
        <v>68</v>
      </c>
      <c r="X27" s="227">
        <f t="shared" ca="1" si="3"/>
        <v>0</v>
      </c>
      <c r="AB27" s="228" t="str">
        <f t="shared" si="4"/>
        <v>GoldDowa</v>
      </c>
    </row>
    <row r="28" spans="1:28" s="227" customFormat="1" ht="50.4">
      <c r="A28" s="181"/>
      <c r="B28" s="182" t="s">
        <v>1098</v>
      </c>
      <c r="C28" s="186" t="s">
        <v>1008</v>
      </c>
      <c r="D28" s="230"/>
      <c r="E28" s="182" t="str">
        <f ca="1">IF(ISERROR($V28),"",OFFSET('Smelter Look-up'!$D$4,$V28-4,0)&amp;"")</f>
        <v>GERMANY</v>
      </c>
      <c r="F28" s="182" t="str">
        <f ca="1">IF(ISERROR($V28),"",OFFSET('Smelter Look-up'!$E$4,$V28-4,0))</f>
        <v>CID000694</v>
      </c>
      <c r="G28" s="182" t="str">
        <f ca="1">IF(C28=$X$4,IF(ISERROR($V28),"Enter smelter details","RMI"),IF(ISERROR($V28),"",OFFSET('Smelter Look-up'!$F$4,$V28-4,0)))</f>
        <v>RMI</v>
      </c>
      <c r="H28" s="183">
        <f ca="1">IF(ISERROR($V28),"",OFFSET('Smelter Look-up'!$G$4,$V28-4,0))</f>
        <v>0</v>
      </c>
      <c r="I28" s="184" t="str">
        <f ca="1">IF(ISERROR($V28),"",OFFSET('Smelter Look-up'!$H$4,$V28-4,0))</f>
        <v>Pforzheim</v>
      </c>
      <c r="J28" s="184" t="str">
        <f ca="1">IF(ISERROR($V28),"",OFFSET('Smelter Look-up'!$I$4,$V28-4,0))</f>
        <v>Baden-Württemberg</v>
      </c>
      <c r="K28" s="224"/>
      <c r="L28" s="224"/>
      <c r="M28" s="224"/>
      <c r="N28" s="224"/>
      <c r="O28" s="224"/>
      <c r="P28" s="185"/>
      <c r="Q28" s="225"/>
      <c r="R28" s="182" t="str">
        <f ca="1">IF(ISERROR($V28),"",OFFSET('Smelter Look-up'!$C$4,$V28-4,0)&amp;"")</f>
        <v>Heimerle + Meule GmbH</v>
      </c>
      <c r="S28" s="181" t="str">
        <f t="shared" ca="1" si="2"/>
        <v>DE</v>
      </c>
      <c r="T28" s="181" t="str">
        <f ca="1">IF(B28="","",IF(ISERROR(MATCH($J28,SorP!$B$1:$B$6226,0)),"",INDIRECT("'SorP'!$A$"&amp;MATCH($S28&amp;$J28,SorP!C:C,0))))</f>
        <v>DE-BW</v>
      </c>
      <c r="U28" s="201"/>
      <c r="V28" s="226">
        <f>IF(C28="",NA(),IF(OR(C28="Smelter not listed",C28="Smelter not yet identified"),MATCH($B28&amp;$D28,'Smelter Look-up'!$J:$J,0),MATCH($B28&amp;$C28,'Smelter Look-up'!$J:$J,0)))</f>
        <v>104</v>
      </c>
      <c r="X28" s="227">
        <f t="shared" ca="1" si="3"/>
        <v>0</v>
      </c>
      <c r="AB28" s="228" t="str">
        <f t="shared" si="4"/>
        <v>GoldHeimerle + Meule GmbH</v>
      </c>
    </row>
    <row r="29" spans="1:28" s="227" customFormat="1" ht="75.599999999999994">
      <c r="A29" s="181"/>
      <c r="B29" s="182" t="s">
        <v>1098</v>
      </c>
      <c r="C29" s="186" t="s">
        <v>2452</v>
      </c>
      <c r="D29" s="230"/>
      <c r="E29" s="182" t="str">
        <f ca="1">IF(ISERROR($V29),"",OFFSET('Smelter Look-up'!$D$4,$V29-4,0)&amp;"")</f>
        <v>CHINA</v>
      </c>
      <c r="F29" s="182" t="str">
        <f ca="1">IF(ISERROR($V29),"",OFFSET('Smelter Look-up'!$E$4,$V29-4,0))</f>
        <v>CID000707</v>
      </c>
      <c r="G29" s="182" t="str">
        <f ca="1">IF(C29=$X$4,IF(ISERROR($V29),"Enter smelter details","RMI"),IF(ISERROR($V29),"",OFFSET('Smelter Look-up'!$F$4,$V29-4,0)))</f>
        <v>RMI</v>
      </c>
      <c r="H29" s="183">
        <f ca="1">IF(ISERROR($V29),"",OFFSET('Smelter Look-up'!$G$4,$V29-4,0))</f>
        <v>0</v>
      </c>
      <c r="I29" s="184" t="str">
        <f ca="1">IF(ISERROR($V29),"",OFFSET('Smelter Look-up'!$H$4,$V29-4,0))</f>
        <v>Fanling</v>
      </c>
      <c r="J29" s="184" t="str">
        <f ca="1">IF(ISERROR($V29),"",OFFSET('Smelter Look-up'!$I$4,$V29-4,0))</f>
        <v>Hong Kong SAR</v>
      </c>
      <c r="K29" s="224"/>
      <c r="L29" s="224"/>
      <c r="M29" s="224"/>
      <c r="N29" s="224"/>
      <c r="O29" s="224"/>
      <c r="P29" s="185"/>
      <c r="Q29" s="225"/>
      <c r="R29" s="182" t="str">
        <f ca="1">IF(ISERROR($V29),"",OFFSET('Smelter Look-up'!$C$4,$V29-4,0)&amp;"")</f>
        <v>Heraeus Metals Hong Kong Ltd.</v>
      </c>
      <c r="S29" s="181" t="str">
        <f t="shared" ca="1" si="2"/>
        <v>CN</v>
      </c>
      <c r="T29" s="181" t="str">
        <f ca="1">IF(B29="","",IF(ISERROR(MATCH($J29,SorP!$B$1:$B$6226,0)),"",INDIRECT("'SorP'!$A$"&amp;MATCH($S29&amp;$J29,SorP!C:C,0))))</f>
        <v>CN-HK</v>
      </c>
      <c r="U29" s="201"/>
      <c r="V29" s="226">
        <f>IF(C29="",NA(),IF(OR(C29="Smelter not listed",C29="Smelter not yet identified"),MATCH($B29&amp;$D29,'Smelter Look-up'!$J:$J,0),MATCH($B29&amp;$C29,'Smelter Look-up'!$J:$J,0)))</f>
        <v>110</v>
      </c>
      <c r="X29" s="227">
        <f t="shared" ca="1" si="3"/>
        <v>0</v>
      </c>
      <c r="AB29" s="228" t="str">
        <f t="shared" si="4"/>
        <v>GoldHeraeus Metals Hong Kong Ltd.</v>
      </c>
    </row>
    <row r="30" spans="1:28" s="227" customFormat="1" ht="75.599999999999994">
      <c r="A30" s="181"/>
      <c r="B30" s="182" t="s">
        <v>1098</v>
      </c>
      <c r="C30" s="186" t="s">
        <v>1193</v>
      </c>
      <c r="D30" s="230"/>
      <c r="E30" s="182" t="str">
        <f ca="1">IF(ISERROR($V30),"",OFFSET('Smelter Look-up'!$D$4,$V30-4,0)&amp;"")</f>
        <v>GERMANY</v>
      </c>
      <c r="F30" s="182" t="str">
        <f ca="1">IF(ISERROR($V30),"",OFFSET('Smelter Look-up'!$E$4,$V30-4,0))</f>
        <v>CID000711</v>
      </c>
      <c r="G30" s="182" t="str">
        <f ca="1">IF(C30=$X$4,IF(ISERROR($V30),"Enter smelter details","RMI"),IF(ISERROR($V30),"",OFFSET('Smelter Look-up'!$F$4,$V30-4,0)))</f>
        <v>RMI</v>
      </c>
      <c r="H30" s="183">
        <f ca="1">IF(ISERROR($V30),"",OFFSET('Smelter Look-up'!$G$4,$V30-4,0))</f>
        <v>0</v>
      </c>
      <c r="I30" s="184" t="str">
        <f ca="1">IF(ISERROR($V30),"",OFFSET('Smelter Look-up'!$H$4,$V30-4,0))</f>
        <v>Hanau</v>
      </c>
      <c r="J30" s="184" t="str">
        <f ca="1">IF(ISERROR($V30),"",OFFSET('Smelter Look-up'!$I$4,$V30-4,0))</f>
        <v>Hessen</v>
      </c>
      <c r="K30" s="224"/>
      <c r="L30" s="224"/>
      <c r="M30" s="224"/>
      <c r="N30" s="224"/>
      <c r="O30" s="224"/>
      <c r="P30" s="185"/>
      <c r="Q30" s="225"/>
      <c r="R30" s="182" t="str">
        <f ca="1">IF(ISERROR($V30),"",OFFSET('Smelter Look-up'!$C$4,$V30-4,0)&amp;"")</f>
        <v>Heraeus Germany GmbH Co. KG</v>
      </c>
      <c r="S30" s="181" t="str">
        <f t="shared" ca="1" si="2"/>
        <v>DE</v>
      </c>
      <c r="T30" s="181" t="str">
        <f ca="1">IF(B30="","",IF(ISERROR(MATCH($J30,SorP!$B$1:$B$6226,0)),"",INDIRECT("'SorP'!$A$"&amp;MATCH($S30&amp;$J30,SorP!C:C,0))))</f>
        <v>DE-HE</v>
      </c>
      <c r="U30" s="201"/>
      <c r="V30" s="226">
        <f>IF(C30="",NA(),IF(OR(C30="Smelter not listed",C30="Smelter not yet identified"),MATCH($B30&amp;$D30,'Smelter Look-up'!$J:$J,0),MATCH($B30&amp;$C30,'Smelter Look-up'!$J:$J,0)))</f>
        <v>111</v>
      </c>
      <c r="X30" s="227">
        <f t="shared" ca="1" si="3"/>
        <v>0</v>
      </c>
      <c r="AB30" s="228" t="str">
        <f t="shared" si="4"/>
        <v>GoldHeraeus Precious Metals GmbH &amp; Co. KG</v>
      </c>
    </row>
    <row r="31" spans="1:28" s="227" customFormat="1" ht="50.4">
      <c r="A31" s="181"/>
      <c r="B31" s="182" t="s">
        <v>1098</v>
      </c>
      <c r="C31" s="186" t="s">
        <v>1201</v>
      </c>
      <c r="D31" s="230"/>
      <c r="E31" s="182" t="str">
        <f ca="1">IF(ISERROR($V31),"",OFFSET('Smelter Look-up'!$D$4,$V31-4,0)&amp;"")</f>
        <v>TURKEY</v>
      </c>
      <c r="F31" s="182" t="str">
        <f ca="1">IF(ISERROR($V31),"",OFFSET('Smelter Look-up'!$E$4,$V31-4,0))</f>
        <v>CID000814</v>
      </c>
      <c r="G31" s="182" t="str">
        <f ca="1">IF(C31=$X$4,IF(ISERROR($V31),"Enter smelter details","RMI"),IF(ISERROR($V31),"",OFFSET('Smelter Look-up'!$F$4,$V31-4,0)))</f>
        <v>RMI</v>
      </c>
      <c r="H31" s="183">
        <f ca="1">IF(ISERROR($V31),"",OFFSET('Smelter Look-up'!$G$4,$V31-4,0))</f>
        <v>0</v>
      </c>
      <c r="I31" s="184" t="str">
        <f ca="1">IF(ISERROR($V31),"",OFFSET('Smelter Look-up'!$H$4,$V31-4,0))</f>
        <v>Kuyumcukent</v>
      </c>
      <c r="J31" s="184" t="str">
        <f ca="1">IF(ISERROR($V31),"",OFFSET('Smelter Look-up'!$I$4,$V31-4,0))</f>
        <v>İstanbul</v>
      </c>
      <c r="K31" s="224"/>
      <c r="L31" s="224"/>
      <c r="M31" s="224"/>
      <c r="N31" s="224"/>
      <c r="O31" s="224"/>
      <c r="P31" s="185"/>
      <c r="Q31" s="225"/>
      <c r="R31" s="182" t="str">
        <f ca="1">IF(ISERROR($V31),"",OFFSET('Smelter Look-up'!$C$4,$V31-4,0)&amp;"")</f>
        <v>Istanbul Gold Refinery</v>
      </c>
      <c r="S31" s="181" t="str">
        <f t="shared" ca="1" si="2"/>
        <v>TR</v>
      </c>
      <c r="T31" s="181" t="str">
        <f ca="1">IF(B31="","",IF(ISERROR(MATCH($J31,SorP!$B$1:$B$6226,0)),"",INDIRECT("'SorP'!$A$"&amp;MATCH($S31&amp;$J31,SorP!C:C,0))))</f>
        <v>TR-34</v>
      </c>
      <c r="U31" s="201"/>
      <c r="V31" s="226">
        <f>IF(C31="",NA(),IF(OR(C31="Smelter not listed",C31="Smelter not yet identified"),MATCH($B31&amp;$D31,'Smelter Look-up'!$J:$J,0),MATCH($B31&amp;$C31,'Smelter Look-up'!$J:$J,0)))</f>
        <v>124</v>
      </c>
      <c r="X31" s="227">
        <f t="shared" ca="1" si="3"/>
        <v>0</v>
      </c>
      <c r="AB31" s="228" t="str">
        <f t="shared" si="4"/>
        <v>GoldIstanbul Gold Refinery</v>
      </c>
    </row>
    <row r="32" spans="1:28" s="227" customFormat="1" ht="50.4">
      <c r="A32" s="181"/>
      <c r="B32" s="182" t="s">
        <v>1098</v>
      </c>
      <c r="C32" s="186" t="s">
        <v>2153</v>
      </c>
      <c r="D32" s="230"/>
      <c r="E32" s="182" t="str">
        <f ca="1">IF(ISERROR($V32),"",OFFSET('Smelter Look-up'!$D$4,$V32-4,0)&amp;"")</f>
        <v>UNITED STATES OF AMERICA</v>
      </c>
      <c r="F32" s="182" t="str">
        <f ca="1">IF(ISERROR($V32),"",OFFSET('Smelter Look-up'!$E$4,$V32-4,0))</f>
        <v>CID000920</v>
      </c>
      <c r="G32" s="182" t="str">
        <f ca="1">IF(C32=$X$4,IF(ISERROR($V32),"Enter smelter details","RMI"),IF(ISERROR($V32),"",OFFSET('Smelter Look-up'!$F$4,$V32-4,0)))</f>
        <v>RMI</v>
      </c>
      <c r="H32" s="183">
        <f ca="1">IF(ISERROR($V32),"",OFFSET('Smelter Look-up'!$G$4,$V32-4,0))</f>
        <v>0</v>
      </c>
      <c r="I32" s="184" t="str">
        <f ca="1">IF(ISERROR($V32),"",OFFSET('Smelter Look-up'!$H$4,$V32-4,0))</f>
        <v>Salt Lake City</v>
      </c>
      <c r="J32" s="184" t="str">
        <f ca="1">IF(ISERROR($V32),"",OFFSET('Smelter Look-up'!$I$4,$V32-4,0))</f>
        <v>Utah</v>
      </c>
      <c r="K32" s="224"/>
      <c r="L32" s="224"/>
      <c r="M32" s="224"/>
      <c r="N32" s="224"/>
      <c r="O32" s="224"/>
      <c r="P32" s="185"/>
      <c r="Q32" s="225"/>
      <c r="R32" s="182" t="str">
        <f ca="1">IF(ISERROR($V32),"",OFFSET('Smelter Look-up'!$C$4,$V32-4,0)&amp;"")</f>
        <v>Asahi Refining USA Inc.</v>
      </c>
      <c r="S32" s="181" t="str">
        <f t="shared" ca="1" si="2"/>
        <v>US</v>
      </c>
      <c r="T32" s="181" t="str">
        <f ca="1">IF(B32="","",IF(ISERROR(MATCH($J32,SorP!$B$1:$B$6226,0)),"",INDIRECT("'SorP'!$A$"&amp;MATCH($S32&amp;$J32,SorP!C:C,0))))</f>
        <v>US-UT</v>
      </c>
      <c r="U32" s="201"/>
      <c r="V32" s="226">
        <f>IF(C32="",NA(),IF(OR(C32="Smelter not listed",C32="Smelter not yet identified"),MATCH($B32&amp;$D32,'Smelter Look-up'!$J:$J,0),MATCH($B32&amp;$C32,'Smelter Look-up'!$J:$J,0)))</f>
        <v>32</v>
      </c>
      <c r="X32" s="227">
        <f t="shared" ca="1" si="3"/>
        <v>0</v>
      </c>
      <c r="AB32" s="228" t="str">
        <f t="shared" si="4"/>
        <v>GoldAsahi Refining USA Inc.</v>
      </c>
    </row>
    <row r="33" spans="1:28" s="227" customFormat="1" ht="63">
      <c r="A33" s="181"/>
      <c r="B33" s="182" t="s">
        <v>1098</v>
      </c>
      <c r="C33" s="186" t="s">
        <v>2238</v>
      </c>
      <c r="D33" s="230"/>
      <c r="E33" s="182" t="str">
        <f ca="1">IF(ISERROR($V33),"",OFFSET('Smelter Look-up'!$D$4,$V33-4,0)&amp;"")</f>
        <v>CANADA</v>
      </c>
      <c r="F33" s="182" t="str">
        <f ca="1">IF(ISERROR($V33),"",OFFSET('Smelter Look-up'!$E$4,$V33-4,0))</f>
        <v>CID000924</v>
      </c>
      <c r="G33" s="182" t="str">
        <f ca="1">IF(C33=$X$4,IF(ISERROR($V33),"Enter smelter details","RMI"),IF(ISERROR($V33),"",OFFSET('Smelter Look-up'!$F$4,$V33-4,0)))</f>
        <v>RMI</v>
      </c>
      <c r="H33" s="183">
        <f ca="1">IF(ISERROR($V33),"",OFFSET('Smelter Look-up'!$G$4,$V33-4,0))</f>
        <v>0</v>
      </c>
      <c r="I33" s="184" t="str">
        <f ca="1">IF(ISERROR($V33),"",OFFSET('Smelter Look-up'!$H$4,$V33-4,0))</f>
        <v>Brampton</v>
      </c>
      <c r="J33" s="184" t="str">
        <f ca="1">IF(ISERROR($V33),"",OFFSET('Smelter Look-up'!$I$4,$V33-4,0))</f>
        <v>Ontario</v>
      </c>
      <c r="K33" s="224"/>
      <c r="L33" s="224"/>
      <c r="M33" s="224"/>
      <c r="N33" s="224"/>
      <c r="O33" s="224"/>
      <c r="P33" s="185"/>
      <c r="Q33" s="225"/>
      <c r="R33" s="182" t="str">
        <f ca="1">IF(ISERROR($V33),"",OFFSET('Smelter Look-up'!$C$4,$V33-4,0)&amp;"")</f>
        <v>Asahi Refining Canada Ltd.</v>
      </c>
      <c r="S33" s="181" t="str">
        <f t="shared" ca="1" si="2"/>
        <v>CA</v>
      </c>
      <c r="T33" s="181" t="str">
        <f ca="1">IF(B33="","",IF(ISERROR(MATCH($J33,SorP!$B$1:$B$6226,0)),"",INDIRECT("'SorP'!$A$"&amp;MATCH($S33&amp;$J33,SorP!C:C,0))))</f>
        <v>CA-ON</v>
      </c>
      <c r="U33" s="201"/>
      <c r="V33" s="226">
        <f>IF(C33="",NA(),IF(OR(C33="Smelter not listed",C33="Smelter not yet identified"),MATCH($B33&amp;$D33,'Smelter Look-up'!$J:$J,0),MATCH($B33&amp;$C33,'Smelter Look-up'!$J:$J,0)))</f>
        <v>31</v>
      </c>
      <c r="X33" s="227">
        <f t="shared" ca="1" si="3"/>
        <v>0</v>
      </c>
      <c r="AB33" s="228" t="str">
        <f t="shared" si="4"/>
        <v>GoldAsahi Refining Canada Ltd.</v>
      </c>
    </row>
    <row r="34" spans="1:28" s="227" customFormat="1" ht="63">
      <c r="A34" s="181"/>
      <c r="B34" s="182" t="s">
        <v>1098</v>
      </c>
      <c r="C34" s="186" t="s">
        <v>675</v>
      </c>
      <c r="D34" s="230"/>
      <c r="E34" s="182" t="str">
        <f ca="1">IF(ISERROR($V34),"",OFFSET('Smelter Look-up'!$D$4,$V34-4,0)&amp;"")</f>
        <v>UNITED STATES OF AMERICA</v>
      </c>
      <c r="F34" s="182" t="str">
        <f ca="1">IF(ISERROR($V34),"",OFFSET('Smelter Look-up'!$E$4,$V34-4,0))</f>
        <v>CID000969</v>
      </c>
      <c r="G34" s="182" t="str">
        <f ca="1">IF(C34=$X$4,IF(ISERROR($V34),"Enter smelter details","RMI"),IF(ISERROR($V34),"",OFFSET('Smelter Look-up'!$F$4,$V34-4,0)))</f>
        <v>RMI</v>
      </c>
      <c r="H34" s="183">
        <f ca="1">IF(ISERROR($V34),"",OFFSET('Smelter Look-up'!$G$4,$V34-4,0))</f>
        <v>0</v>
      </c>
      <c r="I34" s="184" t="str">
        <f ca="1">IF(ISERROR($V34),"",OFFSET('Smelter Look-up'!$H$4,$V34-4,0))</f>
        <v>Magna</v>
      </c>
      <c r="J34" s="184" t="str">
        <f ca="1">IF(ISERROR($V34),"",OFFSET('Smelter Look-up'!$I$4,$V34-4,0))</f>
        <v>Utah</v>
      </c>
      <c r="K34" s="224"/>
      <c r="L34" s="224"/>
      <c r="M34" s="224"/>
      <c r="N34" s="224"/>
      <c r="O34" s="224"/>
      <c r="P34" s="185"/>
      <c r="Q34" s="225"/>
      <c r="R34" s="182" t="str">
        <f ca="1">IF(ISERROR($V34),"",OFFSET('Smelter Look-up'!$C$4,$V34-4,0)&amp;"")</f>
        <v>Kennecott Utah Copper LLC</v>
      </c>
      <c r="S34" s="181" t="str">
        <f t="shared" ca="1" si="2"/>
        <v>US</v>
      </c>
      <c r="T34" s="181" t="str">
        <f ca="1">IF(B34="","",IF(ISERROR(MATCH($J34,SorP!$B$1:$B$6226,0)),"",INDIRECT("'SorP'!$A$"&amp;MATCH($S34&amp;$J34,SorP!C:C,0))))</f>
        <v>US-UT</v>
      </c>
      <c r="U34" s="201"/>
      <c r="V34" s="226">
        <f>IF(C34="",NA(),IF(OR(C34="Smelter not listed",C34="Smelter not yet identified"),MATCH($B34&amp;$D34,'Smelter Look-up'!$J:$J,0),MATCH($B34&amp;$C34,'Smelter Look-up'!$J:$J,0)))</f>
        <v>142</v>
      </c>
      <c r="X34" s="227">
        <f t="shared" ca="1" si="3"/>
        <v>0</v>
      </c>
      <c r="AB34" s="228" t="str">
        <f t="shared" si="4"/>
        <v>GoldKennecott Utah Copper LLC</v>
      </c>
    </row>
    <row r="35" spans="1:28" s="227" customFormat="1" ht="88.2">
      <c r="A35" s="181"/>
      <c r="B35" s="182" t="s">
        <v>1098</v>
      </c>
      <c r="C35" s="186" t="s">
        <v>2105</v>
      </c>
      <c r="D35" s="230"/>
      <c r="E35" s="182" t="str">
        <f ca="1">IF(ISERROR($V35),"",OFFSET('Smelter Look-up'!$D$4,$V35-4,0)&amp;"")</f>
        <v>CHINA</v>
      </c>
      <c r="F35" s="182" t="str">
        <f ca="1">IF(ISERROR($V35),"",OFFSET('Smelter Look-up'!$E$4,$V35-4,0))</f>
        <v>CID001149</v>
      </c>
      <c r="G35" s="182" t="str">
        <f ca="1">IF(C35=$X$4,IF(ISERROR($V35),"Enter smelter details","RMI"),IF(ISERROR($V35),"",OFFSET('Smelter Look-up'!$F$4,$V35-4,0)))</f>
        <v>RMI</v>
      </c>
      <c r="H35" s="183">
        <f ca="1">IF(ISERROR($V35),"",OFFSET('Smelter Look-up'!$G$4,$V35-4,0))</f>
        <v>0</v>
      </c>
      <c r="I35" s="184" t="str">
        <f ca="1">IF(ISERROR($V35),"",OFFSET('Smelter Look-up'!$H$4,$V35-4,0))</f>
        <v>Kwai Chung</v>
      </c>
      <c r="J35" s="184" t="str">
        <f ca="1">IF(ISERROR($V35),"",OFFSET('Smelter Look-up'!$I$4,$V35-4,0))</f>
        <v>Hong Kong SAR</v>
      </c>
      <c r="K35" s="224"/>
      <c r="L35" s="224"/>
      <c r="M35" s="224"/>
      <c r="N35" s="224"/>
      <c r="O35" s="224"/>
      <c r="P35" s="185"/>
      <c r="Q35" s="225"/>
      <c r="R35" s="182" t="str">
        <f ca="1">IF(ISERROR($V35),"",OFFSET('Smelter Look-up'!$C$4,$V35-4,0)&amp;"")</f>
        <v>Metalor Technologies (Hong Kong) Ltd.</v>
      </c>
      <c r="S35" s="181" t="str">
        <f t="shared" ca="1" si="2"/>
        <v>CN</v>
      </c>
      <c r="T35" s="181" t="str">
        <f ca="1">IF(B35="","",IF(ISERROR(MATCH($J35,SorP!$B$1:$B$6226,0)),"",INDIRECT("'SorP'!$A$"&amp;MATCH($S35&amp;$J35,SorP!C:C,0))))</f>
        <v>CN-HK</v>
      </c>
      <c r="U35" s="201"/>
      <c r="V35" s="226">
        <f>IF(C35="",NA(),IF(OR(C35="Smelter not listed",C35="Smelter not yet identified"),MATCH($B35&amp;$D35,'Smelter Look-up'!$J:$J,0),MATCH($B35&amp;$C35,'Smelter Look-up'!$J:$J,0)))</f>
        <v>178</v>
      </c>
      <c r="X35" s="227">
        <f t="shared" ca="1" si="3"/>
        <v>0</v>
      </c>
      <c r="AB35" s="228" t="str">
        <f t="shared" si="4"/>
        <v>GoldMetalor Technologies (Hong Kong) Ltd.</v>
      </c>
    </row>
    <row r="36" spans="1:28" s="227" customFormat="1" ht="50.4">
      <c r="A36" s="181"/>
      <c r="B36" s="182" t="s">
        <v>1098</v>
      </c>
      <c r="C36" s="186" t="s">
        <v>2257</v>
      </c>
      <c r="D36" s="230"/>
      <c r="E36" s="182" t="str">
        <f ca="1">IF(ISERROR($V36),"",OFFSET('Smelter Look-up'!$D$4,$V36-4,0)&amp;"")</f>
        <v>SWITZERLAND</v>
      </c>
      <c r="F36" s="182" t="str">
        <f ca="1">IF(ISERROR($V36),"",OFFSET('Smelter Look-up'!$E$4,$V36-4,0))</f>
        <v>CID001153</v>
      </c>
      <c r="G36" s="182" t="str">
        <f ca="1">IF(C36=$X$4,IF(ISERROR($V36),"Enter smelter details","RMI"),IF(ISERROR($V36),"",OFFSET('Smelter Look-up'!$F$4,$V36-4,0)))</f>
        <v>RMI</v>
      </c>
      <c r="H36" s="183">
        <f ca="1">IF(ISERROR($V36),"",OFFSET('Smelter Look-up'!$G$4,$V36-4,0))</f>
        <v>0</v>
      </c>
      <c r="I36" s="184" t="str">
        <f ca="1">IF(ISERROR($V36),"",OFFSET('Smelter Look-up'!$H$4,$V36-4,0))</f>
        <v>Marin</v>
      </c>
      <c r="J36" s="184" t="str">
        <f ca="1">IF(ISERROR($V36),"",OFFSET('Smelter Look-up'!$I$4,$V36-4,0))</f>
        <v>Neuchâtel</v>
      </c>
      <c r="K36" s="224"/>
      <c r="L36" s="224"/>
      <c r="M36" s="224"/>
      <c r="N36" s="224"/>
      <c r="O36" s="224"/>
      <c r="P36" s="185"/>
      <c r="Q36" s="225"/>
      <c r="R36" s="182" t="str">
        <f ca="1">IF(ISERROR($V36),"",OFFSET('Smelter Look-up'!$C$4,$V36-4,0)&amp;"")</f>
        <v>Metalor Technologies S.A.</v>
      </c>
      <c r="S36" s="181" t="str">
        <f t="shared" ca="1" si="2"/>
        <v>CH</v>
      </c>
      <c r="T36" s="181" t="str">
        <f ca="1">IF(B36="","",IF(ISERROR(MATCH($J36,SorP!$B$1:$B$6226,0)),"",INDIRECT("'SorP'!$A$"&amp;MATCH($S36&amp;$J36,SorP!C:C,0))))</f>
        <v>CH-NE</v>
      </c>
      <c r="U36" s="201"/>
      <c r="V36" s="226">
        <f>IF(C36="",NA(),IF(OR(C36="Smelter not listed",C36="Smelter not yet identified"),MATCH($B36&amp;$D36,'Smelter Look-up'!$J:$J,0),MATCH($B36&amp;$C36,'Smelter Look-up'!$J:$J,0)))</f>
        <v>181</v>
      </c>
      <c r="X36" s="227">
        <f t="shared" ca="1" si="3"/>
        <v>0</v>
      </c>
      <c r="AB36" s="228" t="str">
        <f t="shared" si="4"/>
        <v>GoldMetalor Technologies S.A.</v>
      </c>
    </row>
    <row r="37" spans="1:28" s="227" customFormat="1" ht="63">
      <c r="A37" s="181"/>
      <c r="B37" s="182" t="s">
        <v>1098</v>
      </c>
      <c r="C37" s="186" t="s">
        <v>1195</v>
      </c>
      <c r="D37" s="230"/>
      <c r="E37" s="182" t="str">
        <f ca="1">IF(ISERROR($V37),"",OFFSET('Smelter Look-up'!$D$4,$V37-4,0)&amp;"")</f>
        <v>UNITED STATES OF AMERICA</v>
      </c>
      <c r="F37" s="182" t="str">
        <f ca="1">IF(ISERROR($V37),"",OFFSET('Smelter Look-up'!$E$4,$V37-4,0))</f>
        <v>CID001157</v>
      </c>
      <c r="G37" s="182" t="str">
        <f ca="1">IF(C37=$X$4,IF(ISERROR($V37),"Enter smelter details","RMI"),IF(ISERROR($V37),"",OFFSET('Smelter Look-up'!$F$4,$V37-4,0)))</f>
        <v>RMI</v>
      </c>
      <c r="H37" s="183">
        <f ca="1">IF(ISERROR($V37),"",OFFSET('Smelter Look-up'!$G$4,$V37-4,0))</f>
        <v>0</v>
      </c>
      <c r="I37" s="184" t="str">
        <f ca="1">IF(ISERROR($V37),"",OFFSET('Smelter Look-up'!$H$4,$V37-4,0))</f>
        <v>North Attleboro</v>
      </c>
      <c r="J37" s="184" t="str">
        <f ca="1">IF(ISERROR($V37),"",OFFSET('Smelter Look-up'!$I$4,$V37-4,0))</f>
        <v>Massachusetts</v>
      </c>
      <c r="K37" s="224"/>
      <c r="L37" s="224"/>
      <c r="M37" s="224"/>
      <c r="N37" s="224"/>
      <c r="O37" s="224"/>
      <c r="P37" s="185"/>
      <c r="Q37" s="225"/>
      <c r="R37" s="182" t="str">
        <f ca="1">IF(ISERROR($V37),"",OFFSET('Smelter Look-up'!$C$4,$V37-4,0)&amp;"")</f>
        <v>Metalor USA Refining Corporation</v>
      </c>
      <c r="S37" s="181" t="str">
        <f t="shared" ca="1" si="2"/>
        <v>US</v>
      </c>
      <c r="T37" s="181" t="str">
        <f ca="1">IF(B37="","",IF(ISERROR(MATCH($J37,SorP!$B$1:$B$6226,0)),"",INDIRECT("'SorP'!$A$"&amp;MATCH($S37&amp;$J37,SorP!C:C,0))))</f>
        <v>US-MA</v>
      </c>
      <c r="U37" s="201"/>
      <c r="V37" s="226">
        <f>IF(C37="",NA(),IF(OR(C37="Smelter not listed",C37="Smelter not yet identified"),MATCH($B37&amp;$D37,'Smelter Look-up'!$J:$J,0),MATCH($B37&amp;$C37,'Smelter Look-up'!$J:$J,0)))</f>
        <v>182</v>
      </c>
      <c r="X37" s="227">
        <f t="shared" ca="1" si="3"/>
        <v>0</v>
      </c>
      <c r="AB37" s="228" t="str">
        <f t="shared" si="4"/>
        <v>GoldMetalor USA Refining Corporation</v>
      </c>
    </row>
    <row r="38" spans="1:28" s="227" customFormat="1" ht="25.2">
      <c r="A38" s="181"/>
      <c r="B38" s="182" t="s">
        <v>1098</v>
      </c>
      <c r="C38" s="186" t="s">
        <v>2265</v>
      </c>
      <c r="D38" s="230"/>
      <c r="E38" s="182" t="str">
        <f ca="1">IF(ISERROR($V38),"",OFFSET('Smelter Look-up'!$D$4,$V38-4,0)&amp;"")</f>
        <v>SWITZERLAND</v>
      </c>
      <c r="F38" s="182" t="str">
        <f ca="1">IF(ISERROR($V38),"",OFFSET('Smelter Look-up'!$E$4,$V38-4,0))</f>
        <v>CID001352</v>
      </c>
      <c r="G38" s="182" t="str">
        <f ca="1">IF(C38=$X$4,IF(ISERROR($V38),"Enter smelter details","RMI"),IF(ISERROR($V38),"",OFFSET('Smelter Look-up'!$F$4,$V38-4,0)))</f>
        <v>RMI</v>
      </c>
      <c r="H38" s="183">
        <f ca="1">IF(ISERROR($V38),"",OFFSET('Smelter Look-up'!$G$4,$V38-4,0))</f>
        <v>0</v>
      </c>
      <c r="I38" s="184" t="str">
        <f ca="1">IF(ISERROR($V38),"",OFFSET('Smelter Look-up'!$H$4,$V38-4,0))</f>
        <v>Geneva</v>
      </c>
      <c r="J38" s="184" t="str">
        <f ca="1">IF(ISERROR($V38),"",OFFSET('Smelter Look-up'!$I$4,$V38-4,0))</f>
        <v>Genève</v>
      </c>
      <c r="K38" s="224"/>
      <c r="L38" s="224"/>
      <c r="M38" s="224"/>
      <c r="N38" s="224"/>
      <c r="O38" s="224"/>
      <c r="P38" s="185"/>
      <c r="Q38" s="225"/>
      <c r="R38" s="182" t="str">
        <f ca="1">IF(ISERROR($V38),"",OFFSET('Smelter Look-up'!$C$4,$V38-4,0)&amp;"")</f>
        <v>MKS PAMP SA</v>
      </c>
      <c r="S38" s="181" t="str">
        <f t="shared" ref="S38:S68" ca="1" si="5">IF(B38="","",IF(ISERROR(MATCH($E38,CL,0)),"Unknown",INDIRECT("'C'!$A$"&amp;MATCH($E38,CL,0)+1)))</f>
        <v>CH</v>
      </c>
      <c r="T38" s="181" t="str">
        <f ca="1">IF(B38="","",IF(ISERROR(MATCH($J38,SorP!$B$1:$B$6226,0)),"",INDIRECT("'SorP'!$A$"&amp;MATCH($S38&amp;$J38,SorP!C:C,0))))</f>
        <v>CH-GE</v>
      </c>
      <c r="U38" s="201"/>
      <c r="V38" s="226">
        <f>IF(C38="",NA(),IF(OR(C38="Smelter not listed",C38="Smelter not yet identified"),MATCH($B38&amp;$D38,'Smelter Look-up'!$J:$J,0),MATCH($B38&amp;$C38,'Smelter Look-up'!$J:$J,0)))</f>
        <v>211</v>
      </c>
      <c r="X38" s="227">
        <f t="shared" ref="X38:X68" ca="1" si="6">IF(AND(C38="Smelter not listed",OR(LEN(D38)=0,LEN(E38)=0)),1,0)</f>
        <v>0</v>
      </c>
      <c r="AB38" s="228" t="str">
        <f t="shared" ref="AB38:AB68" si="7">B38&amp;C38</f>
        <v>GoldPAMP S.A.</v>
      </c>
    </row>
    <row r="39" spans="1:28" s="227" customFormat="1" ht="50.4">
      <c r="A39" s="181"/>
      <c r="B39" s="182" t="s">
        <v>1098</v>
      </c>
      <c r="C39" s="186" t="s">
        <v>884</v>
      </c>
      <c r="D39" s="230"/>
      <c r="E39" s="182" t="str">
        <f ca="1">IF(ISERROR($V39),"",OFFSET('Smelter Look-up'!$D$4,$V39-4,0)&amp;"")</f>
        <v>CANADA</v>
      </c>
      <c r="F39" s="182" t="str">
        <f ca="1">IF(ISERROR($V39),"",OFFSET('Smelter Look-up'!$E$4,$V39-4,0))</f>
        <v>CID001534</v>
      </c>
      <c r="G39" s="182" t="str">
        <f ca="1">IF(C39=$X$4,IF(ISERROR($V39),"Enter smelter details","RMI"),IF(ISERROR($V39),"",OFFSET('Smelter Look-up'!$F$4,$V39-4,0)))</f>
        <v>RMI</v>
      </c>
      <c r="H39" s="183">
        <f ca="1">IF(ISERROR($V39),"",OFFSET('Smelter Look-up'!$G$4,$V39-4,0))</f>
        <v>0</v>
      </c>
      <c r="I39" s="184" t="str">
        <f ca="1">IF(ISERROR($V39),"",OFFSET('Smelter Look-up'!$H$4,$V39-4,0))</f>
        <v>Ottawa</v>
      </c>
      <c r="J39" s="184" t="str">
        <f ca="1">IF(ISERROR($V39),"",OFFSET('Smelter Look-up'!$I$4,$V39-4,0))</f>
        <v>Ontario</v>
      </c>
      <c r="K39" s="224"/>
      <c r="L39" s="224"/>
      <c r="M39" s="224"/>
      <c r="N39" s="224"/>
      <c r="O39" s="224"/>
      <c r="P39" s="185"/>
      <c r="Q39" s="225"/>
      <c r="R39" s="182" t="str">
        <f ca="1">IF(ISERROR($V39),"",OFFSET('Smelter Look-up'!$C$4,$V39-4,0)&amp;"")</f>
        <v>Royal Canadian Mint</v>
      </c>
      <c r="S39" s="181" t="str">
        <f t="shared" ca="1" si="5"/>
        <v>CA</v>
      </c>
      <c r="T39" s="181" t="str">
        <f ca="1">IF(B39="","",IF(ISERROR(MATCH($J39,SorP!$B$1:$B$6226,0)),"",INDIRECT("'SorP'!$A$"&amp;MATCH($S39&amp;$J39,SorP!C:C,0))))</f>
        <v>CA-ON</v>
      </c>
      <c r="U39" s="201"/>
      <c r="V39" s="226">
        <f>IF(C39="",NA(),IF(OR(C39="Smelter not listed",C39="Smelter not yet identified"),MATCH($B39&amp;$D39,'Smelter Look-up'!$J:$J,0),MATCH($B39&amp;$C39,'Smelter Look-up'!$J:$J,0)))</f>
        <v>229</v>
      </c>
      <c r="X39" s="227">
        <f t="shared" ca="1" si="6"/>
        <v>0</v>
      </c>
      <c r="AB39" s="228" t="str">
        <f t="shared" si="7"/>
        <v>GoldRoyal Canadian Mint</v>
      </c>
    </row>
    <row r="40" spans="1:28" s="227" customFormat="1" ht="88.2">
      <c r="A40" s="181"/>
      <c r="B40" s="182" t="s">
        <v>1098</v>
      </c>
      <c r="C40" s="186" t="s">
        <v>2114</v>
      </c>
      <c r="D40" s="230"/>
      <c r="E40" s="182" t="str">
        <f ca="1">IF(ISERROR($V40),"",OFFSET('Smelter Look-up'!$D$4,$V40-4,0)&amp;"")</f>
        <v>CHINA</v>
      </c>
      <c r="F40" s="182" t="str">
        <f ca="1">IF(ISERROR($V40),"",OFFSET('Smelter Look-up'!$E$4,$V40-4,0))</f>
        <v>CID001622</v>
      </c>
      <c r="G40" s="182" t="str">
        <f ca="1">IF(C40=$X$4,IF(ISERROR($V40),"Enter smelter details","RMI"),IF(ISERROR($V40),"",OFFSET('Smelter Look-up'!$F$4,$V40-4,0)))</f>
        <v>RMI</v>
      </c>
      <c r="H40" s="183">
        <f ca="1">IF(ISERROR($V40),"",OFFSET('Smelter Look-up'!$G$4,$V40-4,0))</f>
        <v>0</v>
      </c>
      <c r="I40" s="184" t="str">
        <f ca="1">IF(ISERROR($V40),"",OFFSET('Smelter Look-up'!$H$4,$V40-4,0))</f>
        <v>Zhaoyuan</v>
      </c>
      <c r="J40" s="184" t="str">
        <f ca="1">IF(ISERROR($V40),"",OFFSET('Smelter Look-up'!$I$4,$V40-4,0))</f>
        <v>Shandong Sheng</v>
      </c>
      <c r="K40" s="224"/>
      <c r="L40" s="224"/>
      <c r="M40" s="224"/>
      <c r="N40" s="224"/>
      <c r="O40" s="224"/>
      <c r="P40" s="185"/>
      <c r="Q40" s="225"/>
      <c r="R40" s="182" t="str">
        <f ca="1">IF(ISERROR($V40),"",OFFSET('Smelter Look-up'!$C$4,$V40-4,0)&amp;"")</f>
        <v>Shandong Zhaojin Gold &amp; Silver Refinery Co., Ltd.</v>
      </c>
      <c r="S40" s="181" t="str">
        <f t="shared" ca="1" si="5"/>
        <v>CN</v>
      </c>
      <c r="T40" s="181" t="str">
        <f ca="1">IF(B40="","",IF(ISERROR(MATCH($J40,SorP!$B$1:$B$6226,0)),"",INDIRECT("'SorP'!$A$"&amp;MATCH($S40&amp;$J40,SorP!C:C,0))))</f>
        <v>CN-SD</v>
      </c>
      <c r="U40" s="201"/>
      <c r="V40" s="226">
        <f>IF(C40="",NA(),IF(OR(C40="Smelter not listed",C40="Smelter not yet identified"),MATCH($B40&amp;$D40,'Smelter Look-up'!$J:$J,0),MATCH($B40&amp;$C40,'Smelter Look-up'!$J:$J,0)))</f>
        <v>254</v>
      </c>
      <c r="X40" s="227">
        <f t="shared" ca="1" si="6"/>
        <v>0</v>
      </c>
      <c r="AB40" s="228" t="str">
        <f t="shared" si="7"/>
        <v>GoldShandong Zhaojin Gold &amp; Silver Refinery Co., Ltd.</v>
      </c>
    </row>
    <row r="41" spans="1:28" s="227" customFormat="1" ht="63">
      <c r="A41" s="181"/>
      <c r="B41" s="182" t="s">
        <v>1098</v>
      </c>
      <c r="C41" s="186" t="s">
        <v>2278</v>
      </c>
      <c r="D41" s="230"/>
      <c r="E41" s="182" t="str">
        <f ca="1">IF(ISERROR($V41),"",OFFSET('Smelter Look-up'!$D$4,$V41-4,0)&amp;"")</f>
        <v>JAPAN</v>
      </c>
      <c r="F41" s="182" t="str">
        <f ca="1">IF(ISERROR($V41),"",OFFSET('Smelter Look-up'!$E$4,$V41-4,0))</f>
        <v>CID001875</v>
      </c>
      <c r="G41" s="182" t="str">
        <f ca="1">IF(C41=$X$4,IF(ISERROR($V41),"Enter smelter details","RMI"),IF(ISERROR($V41),"",OFFSET('Smelter Look-up'!$F$4,$V41-4,0)))</f>
        <v>RMI</v>
      </c>
      <c r="H41" s="183">
        <f ca="1">IF(ISERROR($V41),"",OFFSET('Smelter Look-up'!$G$4,$V41-4,0))</f>
        <v>0</v>
      </c>
      <c r="I41" s="184" t="str">
        <f ca="1">IF(ISERROR($V41),"",OFFSET('Smelter Look-up'!$H$4,$V41-4,0))</f>
        <v>Hiratsuka</v>
      </c>
      <c r="J41" s="184" t="str">
        <f ca="1">IF(ISERROR($V41),"",OFFSET('Smelter Look-up'!$I$4,$V41-4,0))</f>
        <v>Kanagawa</v>
      </c>
      <c r="K41" s="224"/>
      <c r="L41" s="224"/>
      <c r="M41" s="224"/>
      <c r="N41" s="224"/>
      <c r="O41" s="224"/>
      <c r="P41" s="185"/>
      <c r="Q41" s="225"/>
      <c r="R41" s="182" t="str">
        <f ca="1">IF(ISERROR($V41),"",OFFSET('Smelter Look-up'!$C$4,$V41-4,0)&amp;"")</f>
        <v>Tanaka Kikinzoku Kogyo K.K.</v>
      </c>
      <c r="S41" s="181" t="str">
        <f t="shared" ca="1" si="5"/>
        <v>JP</v>
      </c>
      <c r="T41" s="181" t="str">
        <f ca="1">IF(B41="","",IF(ISERROR(MATCH($J41,SorP!$B$1:$B$6226,0)),"",INDIRECT("'SorP'!$A$"&amp;MATCH($S41&amp;$J41,SorP!C:C,0))))</f>
        <v>JP-14</v>
      </c>
      <c r="U41" s="201"/>
      <c r="V41" s="226">
        <f>IF(C41="",NA(),IF(OR(C41="Smelter not listed",C41="Smelter not yet identified"),MATCH($B41&amp;$D41,'Smelter Look-up'!$J:$J,0),MATCH($B41&amp;$C41,'Smelter Look-up'!$J:$J,0)))</f>
        <v>286</v>
      </c>
      <c r="X41" s="227">
        <f t="shared" ca="1" si="6"/>
        <v>0</v>
      </c>
      <c r="AB41" s="228" t="str">
        <f t="shared" si="7"/>
        <v>GoldTanaka Kikinzoku Kogyo K.K</v>
      </c>
    </row>
    <row r="42" spans="1:28" s="227" customFormat="1" ht="100.8">
      <c r="A42" s="181"/>
      <c r="B42" s="182" t="s">
        <v>1098</v>
      </c>
      <c r="C42" s="186" t="s">
        <v>2283</v>
      </c>
      <c r="D42" s="230"/>
      <c r="E42" s="182" t="str">
        <f ca="1">IF(ISERROR($V42),"",OFFSET('Smelter Look-up'!$D$4,$V42-4,0)&amp;"")</f>
        <v>BELGIUM</v>
      </c>
      <c r="F42" s="182" t="str">
        <f ca="1">IF(ISERROR($V42),"",OFFSET('Smelter Look-up'!$E$4,$V42-4,0))</f>
        <v>CID001980</v>
      </c>
      <c r="G42" s="182" t="str">
        <f ca="1">IF(C42=$X$4,IF(ISERROR($V42),"Enter smelter details","RMI"),IF(ISERROR($V42),"",OFFSET('Smelter Look-up'!$F$4,$V42-4,0)))</f>
        <v>RMI</v>
      </c>
      <c r="H42" s="183">
        <f ca="1">IF(ISERROR($V42),"",OFFSET('Smelter Look-up'!$G$4,$V42-4,0))</f>
        <v>0</v>
      </c>
      <c r="I42" s="184" t="str">
        <f ca="1">IF(ISERROR($V42),"",OFFSET('Smelter Look-up'!$H$4,$V42-4,0))</f>
        <v>Hoboken</v>
      </c>
      <c r="J42" s="184" t="str">
        <f ca="1">IF(ISERROR($V42),"",OFFSET('Smelter Look-up'!$I$4,$V42-4,0))</f>
        <v>Antwerpen</v>
      </c>
      <c r="K42" s="224"/>
      <c r="L42" s="224"/>
      <c r="M42" s="224"/>
      <c r="N42" s="224"/>
      <c r="O42" s="224"/>
      <c r="P42" s="185"/>
      <c r="Q42" s="225"/>
      <c r="R42" s="182" t="str">
        <f ca="1">IF(ISERROR($V42),"",OFFSET('Smelter Look-up'!$C$4,$V42-4,0)&amp;"")</f>
        <v>Umicore S.A. Business Unit Precious Metals Refining</v>
      </c>
      <c r="S42" s="181" t="str">
        <f t="shared" ca="1" si="5"/>
        <v>BE</v>
      </c>
      <c r="T42" s="181" t="str">
        <f ca="1">IF(B42="","",IF(ISERROR(MATCH($J42,SorP!$B$1:$B$6226,0)),"",INDIRECT("'SorP'!$A$"&amp;MATCH($S42&amp;$J42,SorP!C:C,0))))</f>
        <v>BE-VAN</v>
      </c>
      <c r="U42" s="201"/>
      <c r="V42" s="226">
        <f>IF(C42="",NA(),IF(OR(C42="Smelter not listed",C42="Smelter not yet identified"),MATCH($B42&amp;$D42,'Smelter Look-up'!$J:$J,0),MATCH($B42&amp;$C42,'Smelter Look-up'!$J:$J,0)))</f>
        <v>302</v>
      </c>
      <c r="X42" s="227">
        <f t="shared" ca="1" si="6"/>
        <v>0</v>
      </c>
      <c r="AB42" s="228" t="str">
        <f t="shared" si="7"/>
        <v>GoldUmicore S.A. Business Unit Precious Metals Refining</v>
      </c>
    </row>
    <row r="43" spans="1:28" s="227" customFormat="1" ht="50.4">
      <c r="A43" s="181"/>
      <c r="B43" s="182" t="s">
        <v>1101</v>
      </c>
      <c r="C43" s="186" t="s">
        <v>1805</v>
      </c>
      <c r="D43" s="230" t="s">
        <v>15824</v>
      </c>
      <c r="E43" s="182" t="s">
        <v>1070</v>
      </c>
      <c r="F43" s="182" t="s">
        <v>15825</v>
      </c>
      <c r="G43" s="182" t="s">
        <v>15826</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DE</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si="6"/>
        <v>0</v>
      </c>
      <c r="AB43" s="228" t="str">
        <f t="shared" si="7"/>
        <v>TungstenSmelter not listed</v>
      </c>
    </row>
    <row r="44" spans="1:28" s="227" customFormat="1" ht="50.4">
      <c r="A44" s="181"/>
      <c r="B44" s="182" t="s">
        <v>1101</v>
      </c>
      <c r="C44" s="186" t="s">
        <v>141</v>
      </c>
      <c r="D44" s="230"/>
      <c r="E44" s="182" t="str">
        <f ca="1">IF(ISERROR($V44),"",OFFSET('Smelter Look-up'!$D$4,$V44-4,0)&amp;"")</f>
        <v>UNITED STATES OF AMERICA</v>
      </c>
      <c r="F44" s="182" t="str">
        <f ca="1">IF(ISERROR($V44),"",OFFSET('Smelter Look-up'!$E$4,$V44-4,0))</f>
        <v>CID000966</v>
      </c>
      <c r="G44" s="182" t="str">
        <f ca="1">IF(C44=$X$4,IF(ISERROR($V44),"Enter smelter details","RMI"),IF(ISERROR($V44),"",OFFSET('Smelter Look-up'!$F$4,$V44-4,0)))</f>
        <v>RMI</v>
      </c>
      <c r="H44" s="183">
        <f ca="1">IF(ISERROR($V44),"",OFFSET('Smelter Look-up'!$G$4,$V44-4,0))</f>
        <v>0</v>
      </c>
      <c r="I44" s="184" t="str">
        <f ca="1">IF(ISERROR($V44),"",OFFSET('Smelter Look-up'!$H$4,$V44-4,0))</f>
        <v>Fallon</v>
      </c>
      <c r="J44" s="184" t="str">
        <f ca="1">IF(ISERROR($V44),"",OFFSET('Smelter Look-up'!$I$4,$V44-4,0))</f>
        <v>Nevada</v>
      </c>
      <c r="K44" s="224"/>
      <c r="L44" s="224"/>
      <c r="M44" s="224"/>
      <c r="N44" s="224"/>
      <c r="O44" s="224"/>
      <c r="P44" s="185"/>
      <c r="Q44" s="225"/>
      <c r="R44" s="182" t="str">
        <f ca="1">IF(ISERROR($V44),"",OFFSET('Smelter Look-up'!$C$4,$V44-4,0)&amp;"")</f>
        <v>Kennametal Fallon</v>
      </c>
      <c r="S44" s="181" t="str">
        <f t="shared" ca="1" si="5"/>
        <v>US</v>
      </c>
      <c r="T44" s="181" t="str">
        <f ca="1">IF(B44="","",IF(ISERROR(MATCH($J44,SorP!$B$1:$B$6226,0)),"",INDIRECT("'SorP'!$A$"&amp;MATCH($S44&amp;$J44,SorP!C:C,0))))</f>
        <v>US-NV</v>
      </c>
      <c r="U44" s="201"/>
      <c r="V44" s="226">
        <f>IF(C44="",NA(),IF(OR(C44="Smelter not listed",C44="Smelter not yet identified"),MATCH($B44&amp;$D44,'Smelter Look-up'!$J:$J,0),MATCH($B44&amp;$C44,'Smelter Look-up'!$J:$J,0)))</f>
        <v>603</v>
      </c>
      <c r="X44" s="227">
        <f t="shared" ca="1" si="6"/>
        <v>0</v>
      </c>
      <c r="AB44" s="228" t="str">
        <f t="shared" si="7"/>
        <v>TungstenKennametal Fallon</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420E754-ABB0-4E79-AA33-398A3796D130}"/>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6" t="str">
        <f ca="1">OFFSET(L!$C$1,MATCH("Checker"&amp;ADDRESS(ROW(),COLUMN(),4),L!$A:$A,0)-1,SL,,)</f>
        <v>To ensure all required fields have been populated before submitting to your customers review form for any line items highlighted in red</v>
      </c>
      <c r="B1" s="396"/>
      <c r="C1" s="396"/>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Connection Technology Center</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Vibration Analysis Hardware</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Marie Kuzara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sales@ctconline.com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585-924-5900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Marie Kuzara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sales@ctconline.com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46097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294" t="str">
        <f ca="1">OFFSET(L!$C$1,MATCH("Product List"&amp;ADDRESS(ROW(),COLUMN(),4),L!$A:$A,0)-1,SL,,)</f>
        <v>Completion required only if reporting level "Product (or List of Products)" selected on the 'Declaration' worksheet.</v>
      </c>
      <c r="B1" s="295"/>
      <c r="C1" s="295"/>
      <c r="D1" s="2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293" t="s">
        <v>869</v>
      </c>
      <c r="C4" s="293"/>
      <c r="D4" s="2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296" t="str">
        <f ca="1">OFFSET(L!$C$1,MATCH("General"&amp;"Cpy",L!$A:$A,0)-1,SL,,)</f>
        <v>© 2025 Responsible Minerals Initiative. All rights reserved.</v>
      </c>
      <c r="C2006" s="296"/>
      <c r="D2006" s="2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465" activePane="bottomLeft" state="frozen"/>
      <selection activeCell="A4" sqref="A4"/>
      <selection pane="bottomLeft" activeCell="A484" sqref="A484"/>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Marie Kuzara</cp:lastModifiedBy>
  <cp:lastPrinted>2015-04-21T20:47:43Z</cp:lastPrinted>
  <dcterms:created xsi:type="dcterms:W3CDTF">2010-06-21T21:00:23Z</dcterms:created>
  <dcterms:modified xsi:type="dcterms:W3CDTF">2026-03-17T15:29:52Z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