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C:\Users\walkerc\Desktop\Certificates for Web\Conflict Minerals\"/>
    </mc:Choice>
  </mc:AlternateContent>
  <xr:revisionPtr revIDLastSave="0" documentId="8_{A3C9A0FF-38BC-4E40-AB91-54A85F9280D5}"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l="1"/>
  <c r="G33" i="6" s="1"/>
  <c r="B28" i="6"/>
  <c r="B38" i="6"/>
  <c r="C13" i="6"/>
  <c r="B43" i="6"/>
  <c r="G43" i="6" s="1"/>
  <c r="C12" i="6"/>
  <c r="C11" i="6"/>
  <c r="C10" i="6"/>
  <c r="C8" i="6"/>
  <c r="C7" i="6"/>
  <c r="C4"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104" i="5"/>
  <c r="B101" i="5"/>
  <c r="C89" i="5"/>
  <c r="B88" i="5"/>
  <c r="B85" i="5"/>
  <c r="B74" i="5"/>
  <c r="B69" i="5"/>
  <c r="C68" i="5"/>
  <c r="B106" i="5"/>
  <c r="C100" i="5"/>
  <c r="C94" i="5"/>
  <c r="B83" i="5"/>
  <c r="B82" i="5"/>
  <c r="C80" i="5"/>
  <c r="C77" i="5"/>
  <c r="C73" i="5"/>
  <c r="B71" i="5"/>
  <c r="C70" i="5"/>
  <c r="C105" i="5"/>
  <c r="C86" i="5"/>
  <c r="C84" i="5"/>
  <c r="C78" i="5"/>
  <c r="B76" i="5"/>
  <c r="B72" i="5"/>
  <c r="B67"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G27" i="6"/>
  <c r="H27" i="6" s="1"/>
  <c r="G32" i="6"/>
  <c r="G38"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47" i="6" l="1"/>
  <c r="H26" i="6"/>
  <c r="C26" i="6" s="1"/>
  <c r="K64" i="6"/>
  <c r="H37" i="6"/>
  <c r="C37" i="6" s="1"/>
  <c r="H41" i="6"/>
  <c r="D41" i="6" s="1"/>
  <c r="F36" i="6"/>
  <c r="H36" i="6" s="1"/>
  <c r="C36" i="6" s="1"/>
  <c r="F50" i="6"/>
  <c r="F55" i="6" s="1"/>
  <c r="H55" i="6" s="1"/>
  <c r="F63" i="6"/>
  <c r="H25" i="6"/>
  <c r="C25" i="6" s="1"/>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AB32" i="5"/>
  <c r="V41" i="5"/>
  <c r="AB55" i="5"/>
  <c r="V63" i="5"/>
  <c r="AB76" i="5"/>
  <c r="V105" i="5"/>
  <c r="V27" i="5"/>
  <c r="AB33" i="5"/>
  <c r="AB37" i="5"/>
  <c r="V47" i="5"/>
  <c r="AB54" i="5"/>
  <c r="AB61" i="5"/>
  <c r="V70" i="5"/>
  <c r="G70" i="5" s="1"/>
  <c r="V80" i="5"/>
  <c r="G80" i="5" s="1"/>
  <c r="V100" i="5"/>
  <c r="AB9" i="5"/>
  <c r="AB16" i="5"/>
  <c r="V30" i="5"/>
  <c r="V37" i="5"/>
  <c r="V46" i="5"/>
  <c r="V58" i="5"/>
  <c r="V68" i="5"/>
  <c r="G68" i="5" s="1"/>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G123" i="5" s="1"/>
  <c r="V140" i="5"/>
  <c r="G140" i="5" s="1"/>
  <c r="V151" i="5"/>
  <c r="G151" i="5" s="1"/>
  <c r="V175" i="5"/>
  <c r="AB180" i="5"/>
  <c r="AB120" i="5"/>
  <c r="V137" i="5"/>
  <c r="V174" i="5"/>
  <c r="G174" i="5" s="1"/>
  <c r="V62" i="5"/>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V36" i="5"/>
  <c r="AB46" i="5"/>
  <c r="AB53" i="5"/>
  <c r="V59" i="5"/>
  <c r="AB66" i="5"/>
  <c r="V77" i="5"/>
  <c r="G77" i="5" s="1"/>
  <c r="V94" i="5"/>
  <c r="G94" i="5" s="1"/>
  <c r="V5" i="5"/>
  <c r="AB13" i="5"/>
  <c r="V23" i="5"/>
  <c r="V35" i="5"/>
  <c r="V45" i="5"/>
  <c r="V54" i="5"/>
  <c r="V66" i="5"/>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H31" i="6"/>
  <c r="D31" i="6" s="1"/>
  <c r="F46" i="6"/>
  <c r="H46" i="6" s="1"/>
  <c r="F31" i="6"/>
  <c r="C20" i="6"/>
  <c r="D21" i="6"/>
  <c r="C21" i="6"/>
  <c r="K63" i="6"/>
  <c r="D26" i="6"/>
  <c r="H32" i="6"/>
  <c r="C32" i="6" s="1"/>
  <c r="C22" i="6"/>
  <c r="F38" i="6"/>
  <c r="H38" i="6" s="1"/>
  <c r="F43" i="6"/>
  <c r="H43" i="6" s="1"/>
  <c r="H28" i="6"/>
  <c r="F65" i="6"/>
  <c r="F33" i="6"/>
  <c r="H33" i="6" s="1"/>
  <c r="F48" i="6"/>
  <c r="H48" i="6" s="1"/>
  <c r="F66" i="6"/>
  <c r="C42" i="6"/>
  <c r="D42" i="6"/>
  <c r="C27" i="6"/>
  <c r="D27" i="6"/>
  <c r="C61" i="6"/>
  <c r="D61" i="6"/>
  <c r="D47" i="6"/>
  <c r="C47" i="6"/>
  <c r="S466" i="5"/>
  <c r="T466" i="5"/>
  <c r="C41" i="6" l="1"/>
  <c r="D37" i="6"/>
  <c r="F56" i="6"/>
  <c r="H56" i="6" s="1"/>
  <c r="D25" i="6"/>
  <c r="H50" i="6"/>
  <c r="C50" i="6" s="1"/>
  <c r="F53" i="6"/>
  <c r="H53" i="6" s="1"/>
  <c r="C53" i="6" s="1"/>
  <c r="F51" i="6"/>
  <c r="H51" i="6" s="1"/>
  <c r="F54" i="6"/>
  <c r="H54" i="6" s="1"/>
  <c r="C54" i="6" s="1"/>
  <c r="F59" i="6"/>
  <c r="H59" i="6" s="1"/>
  <c r="D59" i="6" s="1"/>
  <c r="F58" i="6"/>
  <c r="H58" i="6" s="1"/>
  <c r="D58" i="6" s="1"/>
  <c r="F60" i="6"/>
  <c r="H60" i="6" s="1"/>
  <c r="D60" i="6" s="1"/>
  <c r="D32" i="6"/>
  <c r="D36" i="6"/>
  <c r="D35" i="6"/>
  <c r="C35" i="6"/>
  <c r="I57" i="5"/>
  <c r="I541" i="5"/>
  <c r="G541" i="5"/>
  <c r="E541" i="5"/>
  <c r="X541" i="5" s="1"/>
  <c r="H541" i="5"/>
  <c r="J57" i="5"/>
  <c r="T57" i="5" s="1"/>
  <c r="R541" i="5"/>
  <c r="G73" i="5"/>
  <c r="F468" i="5"/>
  <c r="J541" i="5"/>
  <c r="F73" i="5"/>
  <c r="H73" i="5"/>
  <c r="J73" i="5"/>
  <c r="I73" i="5"/>
  <c r="R33" i="5"/>
  <c r="R17" i="5"/>
  <c r="X33" i="5"/>
  <c r="E73" i="5"/>
  <c r="X73" i="5" s="1"/>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R35" i="5"/>
  <c r="E86" i="5"/>
  <c r="H86" i="5"/>
  <c r="R86" i="5"/>
  <c r="I86" i="5"/>
  <c r="J86" i="5"/>
  <c r="F86" i="5"/>
  <c r="R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R25" i="5"/>
  <c r="H255" i="5"/>
  <c r="R255" i="5"/>
  <c r="F255" i="5"/>
  <c r="J255" i="5"/>
  <c r="E255" i="5"/>
  <c r="I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R23" i="5"/>
  <c r="E94" i="5"/>
  <c r="H94" i="5"/>
  <c r="R94" i="5"/>
  <c r="I94" i="5"/>
  <c r="J94" i="5"/>
  <c r="F94" i="5"/>
  <c r="G86"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R54" i="5"/>
  <c r="R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J66" i="5"/>
  <c r="R66" i="5"/>
  <c r="I66" i="5"/>
  <c r="R45" i="5"/>
  <c r="I59" i="5"/>
  <c r="R59" i="5"/>
  <c r="J59" i="5"/>
  <c r="T59" i="5" s="1"/>
  <c r="R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R22" i="5"/>
  <c r="J64" i="5"/>
  <c r="T64" i="5" s="1"/>
  <c r="R64" i="5"/>
  <c r="I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I62" i="5"/>
  <c r="R62" i="5"/>
  <c r="J62" i="5"/>
  <c r="I123" i="5"/>
  <c r="R123" i="5"/>
  <c r="J123" i="5"/>
  <c r="E123" i="5"/>
  <c r="H123" i="5"/>
  <c r="F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R55" i="5"/>
  <c r="H148" i="5"/>
  <c r="E148" i="5"/>
  <c r="R148" i="5"/>
  <c r="F148" i="5"/>
  <c r="J148" i="5"/>
  <c r="I148" i="5"/>
  <c r="R156" i="5"/>
  <c r="H156" i="5"/>
  <c r="E156" i="5"/>
  <c r="F156" i="5"/>
  <c r="J156" i="5"/>
  <c r="I156" i="5"/>
  <c r="R127" i="5"/>
  <c r="H127" i="5"/>
  <c r="E127" i="5"/>
  <c r="F127" i="5"/>
  <c r="I127" i="5"/>
  <c r="J127" i="5"/>
  <c r="R92" i="5"/>
  <c r="H92" i="5"/>
  <c r="E92" i="5"/>
  <c r="F92" i="5"/>
  <c r="J92" i="5"/>
  <c r="I92" i="5"/>
  <c r="R31" i="5"/>
  <c r="R11" i="5"/>
  <c r="R56" i="5"/>
  <c r="R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R60" i="5"/>
  <c r="J60" i="5"/>
  <c r="T60" i="5" s="1"/>
  <c r="I60" i="5"/>
  <c r="R9" i="5"/>
  <c r="R58" i="5"/>
  <c r="J58" i="5"/>
  <c r="T58" i="5" s="1"/>
  <c r="I58" i="5"/>
  <c r="R37" i="5"/>
  <c r="H70" i="5"/>
  <c r="J70" i="5"/>
  <c r="E70" i="5"/>
  <c r="I70" i="5"/>
  <c r="F70"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R61" i="5"/>
  <c r="I61" i="5"/>
  <c r="J61" i="5"/>
  <c r="T61" i="5" s="1"/>
  <c r="R12"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R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R20" i="5"/>
  <c r="R8" i="5"/>
  <c r="G100" i="5"/>
  <c r="R47" i="5"/>
  <c r="R27" i="5"/>
  <c r="I63" i="5"/>
  <c r="J63" i="5"/>
  <c r="T63" i="5" s="1"/>
  <c r="R63"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R51" i="5"/>
  <c r="R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I65" i="5"/>
  <c r="R65" i="5"/>
  <c r="J65" i="5"/>
  <c r="R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R46" i="5"/>
  <c r="R30" i="5"/>
  <c r="R80" i="5"/>
  <c r="E80" i="5"/>
  <c r="H80" i="5"/>
  <c r="J80" i="5"/>
  <c r="I80" i="5"/>
  <c r="F80" i="5"/>
  <c r="G105" i="5"/>
  <c r="R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5" i="6"/>
  <c r="C55" i="6"/>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78" i="5"/>
  <c r="T403" i="5"/>
  <c r="T538" i="5"/>
  <c r="T278" i="5"/>
  <c r="T189" i="5"/>
  <c r="T72" i="5"/>
  <c r="T91" i="5"/>
  <c r="T244" i="5"/>
  <c r="T208" i="5"/>
  <c r="T90" i="5"/>
  <c r="T182" i="5"/>
  <c r="T153" i="5"/>
  <c r="T118" i="5"/>
  <c r="T179" i="5"/>
  <c r="T162" i="5"/>
  <c r="T145" i="5"/>
  <c r="T542" i="5"/>
  <c r="T509" i="5"/>
  <c r="T579" i="5"/>
  <c r="T351" i="5"/>
  <c r="T88" i="5"/>
  <c r="T143" i="5"/>
  <c r="T191" i="5"/>
  <c r="T128" i="5"/>
  <c r="T163"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25" i="5"/>
  <c r="T552" i="5"/>
  <c r="T483" i="5"/>
  <c r="T423" i="5"/>
  <c r="T267" i="5"/>
  <c r="T109" i="5"/>
  <c r="T180" i="5"/>
  <c r="T488" i="5"/>
  <c r="T561" i="5"/>
  <c r="T553" i="5"/>
  <c r="T556" i="5"/>
  <c r="T527" i="5"/>
  <c r="T545" i="5"/>
  <c r="T446" i="5"/>
  <c r="T276" i="5"/>
  <c r="T144" i="5"/>
  <c r="T511" i="5"/>
  <c r="T277" i="5"/>
  <c r="T480" i="5"/>
  <c r="T269" i="5"/>
  <c r="T185" i="5"/>
  <c r="T32"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63" i="5"/>
  <c r="T460" i="5"/>
  <c r="T519" i="5"/>
  <c r="T256" i="5"/>
  <c r="T154" i="5"/>
  <c r="S73" i="5"/>
  <c r="T526" i="5"/>
  <c r="T502" i="5"/>
  <c r="T510" i="5"/>
  <c r="T479" i="5"/>
  <c r="T372" i="5"/>
  <c r="T504" i="5"/>
  <c r="T438" i="5"/>
  <c r="T407" i="5"/>
  <c r="T264" i="5"/>
  <c r="T221" i="5"/>
  <c r="T281" i="5"/>
  <c r="T100" i="5"/>
  <c r="T219" i="5"/>
  <c r="T195" i="5"/>
  <c r="T580" i="5"/>
  <c r="T416" i="5"/>
  <c r="T461" i="5"/>
  <c r="T456" i="5"/>
  <c r="T465" i="5"/>
  <c r="T425" i="5"/>
  <c r="T218" i="5"/>
  <c r="T156" i="5"/>
  <c r="T92" i="5"/>
  <c r="T490" i="5"/>
  <c r="T383" i="5"/>
  <c r="T212" i="5"/>
  <c r="T110" i="5"/>
  <c r="T70" i="5"/>
  <c r="T75" i="5"/>
  <c r="T12"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23" i="5"/>
  <c r="T431" i="5"/>
  <c r="T392" i="5"/>
  <c r="T390" i="5"/>
  <c r="T252" i="5"/>
  <c r="T205" i="5"/>
  <c r="T96" i="5"/>
  <c r="T155" i="5"/>
  <c r="T111" i="5"/>
  <c r="T355" i="5"/>
  <c r="T266" i="5"/>
  <c r="T265" i="5"/>
  <c r="T254" i="5"/>
  <c r="T494" i="5"/>
  <c r="T79" i="5"/>
  <c r="T282" i="5"/>
  <c r="T236" i="5"/>
  <c r="T193" i="5"/>
  <c r="T170" i="5"/>
  <c r="T166" i="5"/>
  <c r="T566" i="5"/>
  <c r="T506" i="5"/>
  <c r="T126" i="5"/>
  <c r="T520" i="5"/>
  <c r="T486" i="5"/>
  <c r="T387" i="5"/>
  <c r="T246" i="5"/>
  <c r="T243" i="5"/>
  <c r="T134" i="5"/>
  <c r="T114" i="5"/>
  <c r="T97" i="5"/>
  <c r="T169" i="5"/>
  <c r="T178" i="5"/>
  <c r="T28" i="5"/>
  <c r="T30" i="5"/>
  <c r="T43" i="5"/>
  <c r="T40" i="5"/>
  <c r="T31" i="5"/>
  <c r="T37" i="5"/>
  <c r="T53" i="5"/>
  <c r="T52" i="5"/>
  <c r="T26" i="5"/>
  <c r="T18" i="5"/>
  <c r="T42" i="5"/>
  <c r="T9" i="5"/>
  <c r="T11" i="5"/>
  <c r="T36" i="5"/>
  <c r="T17" i="5"/>
  <c r="T20" i="5"/>
  <c r="T23" i="5"/>
  <c r="T5" i="5"/>
  <c r="T33" i="5"/>
  <c r="T39" i="5"/>
  <c r="T46" i="5"/>
  <c r="T6" i="5"/>
  <c r="T21" i="5"/>
  <c r="T24" i="5"/>
  <c r="T47" i="5"/>
  <c r="T14" i="5"/>
  <c r="T55" i="5"/>
  <c r="T54" i="5"/>
  <c r="T44" i="5"/>
  <c r="T10" i="5"/>
  <c r="T34" i="5"/>
  <c r="T15" i="5"/>
  <c r="T38" i="5"/>
  <c r="T35" i="5"/>
  <c r="T13" i="5"/>
  <c r="T29" i="5"/>
  <c r="T45" i="5"/>
  <c r="S33" i="5"/>
  <c r="T51" i="5"/>
  <c r="T41" i="5"/>
  <c r="T19" i="5"/>
  <c r="T48" i="5"/>
  <c r="S57" i="5"/>
  <c r="S17" i="5"/>
  <c r="T49" i="5"/>
  <c r="T50" i="5"/>
  <c r="T8" i="5"/>
  <c r="T22" i="5"/>
  <c r="T16" i="5"/>
  <c r="T27" i="5"/>
  <c r="T7" i="5"/>
  <c r="T56" i="5"/>
  <c r="H65" i="6" l="1"/>
  <c r="D65" i="6" s="1"/>
  <c r="C65" i="6"/>
  <c r="C63" i="6"/>
  <c r="C62" i="6"/>
  <c r="C64" i="6"/>
  <c r="D50" i="6"/>
  <c r="D53" i="6"/>
  <c r="F52" i="6"/>
  <c r="H52" i="6" s="1"/>
  <c r="C52" i="6" s="1"/>
  <c r="C59" i="6"/>
  <c r="D54" i="6"/>
  <c r="C60" i="6"/>
  <c r="C58"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219" i="5"/>
  <c r="S407" i="5"/>
  <c r="S516" i="5"/>
  <c r="S372" i="5"/>
  <c r="S510" i="5"/>
  <c r="S349" i="5"/>
  <c r="S563" i="5"/>
  <c r="S517" i="5"/>
  <c r="S187" i="5"/>
  <c r="S85" i="5"/>
  <c r="S388" i="5"/>
  <c r="S463" i="5"/>
  <c r="S185" i="5"/>
  <c r="S573" i="5"/>
  <c r="S577" i="5"/>
  <c r="S564" i="5"/>
  <c r="S147" i="5"/>
  <c r="S412" i="5"/>
  <c r="S109" i="5"/>
  <c r="S441" i="5"/>
  <c r="S484"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252" i="5"/>
  <c r="S390" i="5"/>
  <c r="S485" i="5"/>
  <c r="S223" i="5"/>
  <c r="S448" i="5"/>
  <c r="S117" i="5"/>
  <c r="S373" i="5"/>
  <c r="S209" i="5"/>
  <c r="S475" i="5"/>
  <c r="S121" i="5"/>
  <c r="S273" i="5"/>
  <c r="S556" i="5"/>
  <c r="S159" i="5"/>
  <c r="S454" i="5"/>
  <c r="S220" i="5"/>
  <c r="S499" i="5"/>
  <c r="S248" i="5"/>
  <c r="S447" i="5"/>
  <c r="S104" i="5"/>
  <c r="S507" i="5"/>
  <c r="S99" i="5"/>
  <c r="S97" i="5"/>
  <c r="S243" i="5"/>
  <c r="S406" i="5"/>
  <c r="S399" i="5"/>
  <c r="S418" i="5"/>
  <c r="S469" i="5"/>
  <c r="S498" i="5"/>
  <c r="S566" i="5"/>
  <c r="S193" i="5"/>
  <c r="S232" i="5"/>
  <c r="S182" i="5"/>
  <c r="S244" i="5"/>
  <c r="S205" i="5"/>
  <c r="S459" i="5"/>
  <c r="S123" i="5"/>
  <c r="S242" i="5"/>
  <c r="S532" i="5"/>
  <c r="S238" i="5"/>
  <c r="S476" i="5"/>
  <c r="S500" i="5"/>
  <c r="S531" i="5"/>
  <c r="S568" i="5"/>
  <c r="S134" i="5"/>
  <c r="S101" i="5"/>
  <c r="S462" i="5"/>
  <c r="S211" i="5"/>
  <c r="S578" i="5"/>
  <c r="S351" i="5"/>
  <c r="S542" i="5"/>
  <c r="S145" i="5"/>
  <c r="S181" i="5"/>
  <c r="S165" i="5"/>
  <c r="S216" i="5"/>
  <c r="S212" i="5"/>
  <c r="S383" i="5"/>
  <c r="S491"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172" i="5"/>
  <c r="S494" i="5"/>
  <c r="S224" i="5"/>
  <c r="S425" i="5"/>
  <c r="S396" i="5"/>
  <c r="S183" i="5"/>
  <c r="S249" i="5"/>
  <c r="S69" i="5"/>
  <c r="S548" i="5"/>
  <c r="S545" i="5"/>
  <c r="S495" i="5"/>
  <c r="S404" i="5"/>
  <c r="S518" i="5"/>
  <c r="S45" i="5"/>
  <c r="S35" i="5"/>
  <c r="S37" i="5"/>
  <c r="S55" i="5"/>
  <c r="S44" i="5"/>
  <c r="S53" i="5"/>
  <c r="S29" i="5"/>
  <c r="S16" i="5"/>
  <c r="S41" i="5"/>
  <c r="S26" i="5"/>
  <c r="S52" i="5"/>
  <c r="S56" i="5"/>
  <c r="S22" i="5"/>
  <c r="S19" i="5"/>
  <c r="S28" i="5"/>
  <c r="S43" i="5"/>
  <c r="S66" i="5"/>
  <c r="S14" i="5"/>
  <c r="S51" i="5"/>
  <c r="S9" i="5"/>
  <c r="S15" i="5"/>
  <c r="S63" i="5"/>
  <c r="S23" i="5"/>
  <c r="S13" i="5"/>
  <c r="S48" i="5"/>
  <c r="S49" i="5"/>
  <c r="S8" i="5"/>
  <c r="S20" i="5"/>
  <c r="S36" i="5"/>
  <c r="S60" i="5"/>
  <c r="S39" i="5"/>
  <c r="S59" i="5"/>
  <c r="S64" i="5"/>
  <c r="S42" i="5"/>
  <c r="S12" i="5"/>
  <c r="S11" i="5"/>
  <c r="S5" i="5"/>
  <c r="S34" i="5"/>
  <c r="S54" i="5"/>
  <c r="S25" i="5"/>
  <c r="S47" i="5"/>
  <c r="S46" i="5"/>
  <c r="S40" i="5"/>
  <c r="S6" i="5"/>
  <c r="S30" i="5"/>
  <c r="S32" i="5"/>
  <c r="S58" i="5"/>
  <c r="S21" i="5"/>
  <c r="S61" i="5"/>
  <c r="S7" i="5"/>
  <c r="S62" i="5"/>
  <c r="S31" i="5"/>
  <c r="S24" i="5"/>
  <c r="S10" i="5"/>
  <c r="S18" i="5"/>
  <c r="S27" i="5"/>
  <c r="S50" i="5"/>
  <c r="S65" i="5"/>
  <c r="S38" i="5"/>
  <c r="H66" i="6" l="1"/>
  <c r="H67" i="6" s="1"/>
  <c r="D2" i="6" s="1"/>
  <c r="C66" i="6"/>
  <c r="D5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<sst xmlns="http://schemas.openxmlformats.org/spreadsheetml/2006/main" count="22084" uniqueCount="15519">
  <si>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</si>
  <si>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</si>
  <si>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</si>
  <si>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</si>
  <si>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</si>
  <si>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</si>
  <si>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</si>
  <si>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</si>
  <si>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</si>
  <si>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</si>
  <si>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</si>
  <si>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</si>
  <si>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</si>
  <si>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</si>
  <si>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</si>
  <si>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</si>
  <si>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</si>
  <si>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</si>
  <si>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</si>
  <si>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</si>
  <si>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</si>
  <si>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</si>
  <si>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</si>
  <si>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</si>
  <si>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</si>
  <si>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</si>
  <si>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</si>
  <si>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</si>
  <si>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</si>
  <si>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</si>
  <si>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</si>
  <si>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</si>
  <si>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</si>
  <si>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</si>
  <si>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</si>
  <si>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</si>
  <si>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</si>
  <si>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</si>
  <si>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</si>
  <si>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</si>
  <si>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</si>
  <si>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</si>
  <si>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</si>
  <si>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</si>
  <si>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</si>
  <si>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</si>
  <si>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</si>
  <si>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</si>
  <si>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</si>
  <si>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</si>
  <si>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</si>
  <si>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</si>
  <si>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</si>
  <si>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</si>
  <si>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</si>
  <si>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</si>
  <si>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</si>
  <si>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</si>
  <si>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</si>
  <si>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</si>
  <si>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</si>
  <si>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</si>
  <si>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</si>
  <si>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</si>
  <si>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</si>
  <si>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</si>
  <si>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</si>
  <si>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</si>
  <si>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</si>
  <si>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</si>
  <si>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</si>
  <si>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</si>
  <si>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</si>
  <si>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</si>
  <si>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</si>
  <si>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</si>
  <si>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</si>
  <si>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</si>
  <si>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</si>
  <si>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</si>
  <si>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</si>
  <si>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</si>
  <si>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</si>
  <si>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</si>
  <si>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</si>
  <si>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</si>
  <si>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</si>
  <si>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</si>
  <si>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</si>
  <si>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</si>
  <si>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</si>
  <si>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</si>
  <si>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</si>
  <si>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</si>
  <si>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</si>
  <si>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</si>
  <si>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</si>
  <si>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</si>
  <si>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</si>
  <si>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</si>
  <si>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</si>
  <si>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</si>
  <si>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</si>
  <si>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</si>
  <si>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</si>
  <si>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</si>
  <si>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</si>
  <si>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</si>
  <si>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</si>
  <si>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</si>
  <si>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</si>
  <si>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</si>
  <si>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</si>
  <si>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</si>
  <si>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</si>
  <si>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</si>
  <si>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</si>
  <si>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</si>
  <si>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</si>
  <si>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</si>
  <si>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</si>
  <si>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</si>
  <si>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</si>
  <si>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</si>
  <si>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</si>
  <si>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</si>
  <si>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</si>
  <si>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</si>
  <si>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</si>
  <si>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</si>
  <si>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</si>
  <si>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</si>
  <si>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</si>
  <si>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</si>
  <si>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</si>
  <si>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</si>
  <si>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</si>
  <si>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</si>
  <si>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</si>
  <si>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</si>
  <si>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</si>
  <si>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</si>
  <si>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</si>
  <si>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</si>
  <si>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</si>
  <si>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</si>
  <si>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</si>
  <si>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</si>
  <si>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</si>
  <si>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</si>
  <si>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</si>
  <si>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</si>
  <si>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</si>
  <si>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</si>
  <si>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</si>
  <si>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</si>
  <si>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</si>
  <si>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</si>
  <si>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</si>
  <si>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</si>
  <si>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</si>
  <si>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</si>
  <si>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</si>
  <si>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</si>
  <si>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</si>
  <si>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</si>
  <si>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</si>
  <si>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</si>
  <si>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</si>
  <si>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</si>
  <si>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</si>
  <si>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</si>
  <si>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</si>
  <si>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</si>
  <si>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</si>
  <si>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</si>
  <si>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</si>
  <si>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</si>
  <si>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</si>
  <si>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</si>
  <si>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</si>
  <si>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</si>
  <si>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</si>
  <si>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</si>
  <si>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</si>
  <si>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</si>
  <si>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</si>
  <si>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</si>
  <si>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</si>
  <si>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</si>
  <si>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</si>
  <si>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</si>
  <si>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</si>
  <si>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</si>
  <si>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</si>
  <si>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</si>
  <si>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</si>
  <si>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</si>
  <si>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</si>
  <si>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</si>
  <si>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</si>
  <si>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</si>
  <si>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</si>
  <si>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</si>
  <si>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</si>
  <si>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</si>
  <si>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</si>
  <si>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</si>
  <si>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</si>
  <si>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</si>
  <si>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</si>
  <si>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</si>
  <si>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</si>
  <si>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</si>
  <si>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</si>
  <si>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</si>
  <si>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</si>
  <si>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</si>
  <si>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</si>
  <si>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</si>
  <si>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</si>
  <si>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</si>
  <si>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</si>
  <si>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</si>
  <si>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</si>
  <si>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</si>
  <si>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</si>
  <si>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</si>
  <si>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</si>
  <si>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</si>
  <si>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</si>
  <si>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</si>
  <si>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</si>
  <si>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</si>
  <si>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</si>
  <si>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</si>
  <si>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</si>
  <si>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</si>
  <si>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</si>
  <si>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</si>
  <si>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</si>
  <si>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</si>
  <si>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</si>
  <si>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</si>
  <si>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</si>
  <si>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</si>
  <si>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</si>
  <si>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</si>
  <si>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</si>
  <si>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</si>
  <si>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</si>
  <si>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</si>
  <si>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</si>
  <si>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</si>
  <si>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</si>
  <si>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</si>
  <si>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</si>
  <si>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</si>
  <si>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</si>
  <si>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</si>
  <si>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</si>
  <si>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</si>
  <si>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</si>
  <si>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</si>
  <si>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</si>
  <si>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</si>
  <si>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</si>
  <si>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</si>
  <si>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</si>
  <si>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</si>
  <si>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</si>
  <si>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</si>
  <si>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</si>
  <si>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</si>
  <si>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</si>
  <si>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</si>
  <si>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</si>
  <si>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</si>
  <si>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</si>
  <si>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</si>
  <si>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</si>
  <si>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</si>
  <si>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</si>
  <si>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</si>
  <si>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</si>
  <si>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</si>
  <si>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</si>
  <si>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</si>
  <si>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</si>
  <si>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</si>
  <si>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</si>
  <si>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</si>
  <si>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</si>
  <si>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</si>
  <si>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</si>
  <si>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</si>
  <si>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</si>
  <si>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</si>
  <si>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</si>
  <si>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</si>
  <si>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</si>
  <si>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</si>
  <si>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</si>
  <si>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</si>
  <si>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</si>
  <si>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</si>
  <si>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</si>
  <si>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</si>
  <si>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</si>
  <si>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</si>
  <si>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</si>
  <si>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</si>
  <si>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</si>
  <si>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</si>
  <si>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</si>
  <si>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</si>
  <si>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</si>
  <si>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</si>
  <si>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</si>
  <si>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</si>
  <si>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</si>
  <si>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</si>
  <si>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</si>
  <si>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</si>
  <si>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</si>
  <si>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</si>
  <si>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</si>
  <si>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</si>
  <si>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</si>
  <si>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</si>
  <si>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</si>
  <si>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</si>
  <si>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</si>
  <si>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</si>
  <si>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</si>
  <si>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</si>
  <si>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</si>
  <si>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</si>
  <si>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</si>
  <si>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</si>
  <si>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</si>
  <si>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</si>
  <si>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</si>
  <si>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</si>
  <si>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</si>
  <si>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</si>
  <si>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</si>
  <si>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</si>
  <si>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</si>
  <si>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</si>
  <si>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</si>
  <si>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</si>
  <si>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</si>
  <si>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</si>
  <si>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</si>
  <si>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</si>
  <si>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</si>
  <si>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</si>
  <si>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</si>
  <si>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</si>
  <si>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</si>
  <si>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</si>
  <si>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</si>
  <si>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</si>
  <si>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</si>
  <si>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</si>
  <si>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</si>
  <si>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</si>
  <si>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</si>
  <si>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</si>
  <si>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</si>
  <si>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</si>
  <si>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</si>
  <si>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</si>
  <si>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</si>
  <si>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</si>
  <si>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</si>
  <si>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</si>
  <si>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</si>
  <si>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</si>
  <si>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</si>
  <si>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</si>
  <si>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</si>
  <si>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</si>
  <si>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</si>
  <si>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</si>
  <si>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</si>
  <si>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</si>
  <si>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</si>
  <si>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</si>
  <si>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</si>
  <si>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</si>
  <si>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</si>
  <si>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</si>
  <si>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</si>
  <si>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</si>
  <si>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</si>
  <si>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</si>
  <si>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</si>
  <si>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</si>
  <si>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</si>
  <si>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</si>
  <si>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</si>
  <si>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</si>
  <si>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</si>
  <si>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</si>
  <si>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</si>
  <si>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</si>
  <si>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</si>
  <si>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</si>
  <si>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</si>
  <si>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</si>
  <si>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</si>
  <si>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</si>
  <si>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</si>
  <si>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</si>
  <si>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</si>
  <si>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</si>
  <si>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</si>
  <si>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</si>
  <si>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</si>
  <si>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</si>
  <si>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</si>
  <si>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</si>
  <si>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</si>
  <si>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</si>
  <si>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</si>
  <si>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</si>
  <si>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</si>
  <si>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</si>
  <si>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</si>
  <si>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</si>
  <si>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</si>
  <si>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</si>
  <si>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</si>
  <si>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</si>
  <si>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</si>
  <si>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</si>
  <si>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</si>
  <si>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</si>
  <si>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</si>
  <si>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</si>
  <si>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</si>
  <si>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</si>
  <si>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</si>
  <si>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</si>
  <si>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</si>
  <si>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</si>
  <si>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</si>
  <si>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</si>
  <si>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</si>
  <si>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</si>
  <si>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</si>
  <si>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</si>
  <si>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</si>
  <si>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</si>
  <si>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</si>
  <si>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</si>
  <si>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</si>
  <si>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</si>
  <si>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</si>
  <si>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</si>
  <si>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</si>
  <si>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</si>
  <si>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</si>
  <si>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</si>
  <si>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</si>
  <si>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</si>
  <si>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</si>
  <si>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</si>
  <si>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</si>
  <si>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</si>
  <si>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</si>
  <si>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</si>
  <si>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</si>
  <si>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</si>
  <si>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</si>
  <si>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</si>
  <si>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</si>
  <si>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</si>
  <si>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</si>
  <si>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</si>
  <si>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</si>
  <si>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</si>
  <si>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</si>
  <si>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</si>
  <si>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</si>
  <si>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</si>
  <si>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</si>
  <si>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</si>
  <si>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</si>
  <si>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</si>
  <si>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</si>
  <si>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</si>
  <si>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</si>
  <si>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</si>
  <si>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</si>
  <si>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</si>
  <si>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</si>
  <si>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</si>
  <si>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</si>
  <si>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</si>
  <si>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</si>
  <si>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</si>
  <si>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</si>
  <si>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</si>
  <si>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</si>
  <si>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</si>
  <si>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</si>
  <si>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</si>
  <si>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</si>
  <si>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</si>
  <si>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</si>
  <si>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</si>
  <si>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</si>
  <si>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</si>
  <si>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</si>
  <si>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</si>
  <si>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</si>
  <si>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</si>
  <si>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</si>
  <si>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</si>
  <si>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</si>
  <si>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</si>
  <si>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</si>
  <si>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</si>
  <si>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</si>
  <si>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</si>
  <si>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</si>
  <si>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</si>
  <si>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</si>
  <si>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</si>
  <si>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</si>
  <si>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</si>
  <si>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</si>
  <si>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</si>
  <si>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</si>
  <si>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</si>
  <si>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</si>
  <si>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</si>
  <si>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</si>
  <si>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</si>
  <si>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</si>
  <si>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</si>
  <si>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</si>
  <si>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</si>
  <si>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</si>
  <si>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</si>
  <si>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</si>
  <si>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</si>
  <si>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</si>
  <si>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</si>
  <si>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</si>
  <si>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</si>
  <si>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</si>
  <si>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</si>
  <si>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</si>
  <si>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</si>
  <si>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</si>
  <si>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</si>
  <si>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</si>
  <si>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</si>
  <si>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</si>
  <si>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</si>
  <si>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</si>
  <si>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</si>
  <si>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</si>
  <si>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</si>
  <si>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</si>
  <si>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</si>
  <si>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</si>
  <si>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</si>
  <si>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</si>
  <si>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</si>
  <si>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</si>
  <si>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</si>
  <si>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</si>
  <si>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</si>
  <si>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</si>
  <si>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</si>
  <si>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</si>
  <si>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</si>
  <si>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</si>
  <si>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</si>
  <si>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</si>
  <si>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</si>
  <si>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</si>
  <si>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</si>
  <si>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</si>
  <si>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</si>
  <si>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</si>
  <si>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</si>
  <si>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</si>
  <si>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</si>
  <si>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</si>
  <si>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</si>
  <si>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</si>
  <si>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</si>
  <si>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</si>
  <si>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</si>
  <si>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</si>
  <si>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</si>
  <si>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</si>
  <si>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</si>
  <si>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</si>
  <si>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</si>
  <si>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</si>
  <si>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</si>
  <si>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</si>
  <si>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</si>
  <si>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</si>
  <si>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</si>
  <si>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</si>
  <si>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</si>
  <si>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</si>
  <si>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</si>
  <si>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</si>
  <si>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</si>
  <si>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</si>
  <si>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</si>
  <si>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</si>
  <si>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</si>
  <si>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</si>
  <si>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</si>
  <si>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</si>
  <si>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</si>
  <si>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</si>
  <si>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</si>
  <si>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</si>
  <si>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</si>
  <si>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</si>
  <si>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</si>
  <si>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</si>
  <si>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</si>
  <si>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</si>
  <si>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</si>
  <si>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</si>
  <si>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</si>
  <si>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</si>
  <si>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</si>
  <si>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</si>
  <si>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</si>
  <si>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</si>
  <si>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</si>
  <si>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</si>
  <si>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</si>
  <si>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</si>
  <si>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</si>
  <si>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</si>
  <si>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</si>
  <si>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</si>
  <si>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</si>
  <si>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</si>
  <si>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</si>
  <si>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</si>
  <si>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</si>
  <si>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</si>
  <si>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</si>
  <si>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</si>
  <si>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</si>
  <si>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</si>
  <si>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</si>
  <si>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</si>
  <si>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</si>
  <si>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</si>
  <si>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</si>
  <si>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</si>
  <si>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</si>
  <si>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</si>
  <si>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</si>
  <si>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</si>
  <si>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</si>
  <si>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</si>
  <si>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</si>
  <si>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</si>
  <si>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</si>
  <si>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</si>
  <si>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</si>
  <si>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</si>
  <si>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</si>
  <si>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</si>
  <si>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</si>
  <si>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</si>
  <si>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</si>
  <si>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</si>
  <si>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</si>
  <si>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</si>
  <si>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</si>
  <si>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</si>
  <si>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</si>
  <si>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</si>
  <si>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</si>
  <si>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</si>
  <si>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</si>
  <si>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</si>
  <si>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</si>
  <si>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</si>
  <si>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</si>
  <si>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</si>
  <si>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</si>
  <si>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</si>
  <si>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</si>
  <si>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</si>
  <si>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</si>
  <si>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</si>
  <si>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</si>
  <si>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</si>
  <si>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</si>
  <si>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</si>
  <si>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</si>
  <si>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</si>
  <si>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</si>
  <si>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</si>
  <si>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</si>
  <si>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</si>
  <si>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</si>
  <si>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</si>
  <si>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</si>
  <si>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</si>
  <si>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</si>
  <si>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</si>
  <si>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</si>
  <si>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</si>
  <si>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</si>
  <si>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</si>
  <si>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</si>
  <si>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</si>
  <si>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</si>
  <si>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</si>
  <si>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</si>
  <si>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</si>
  <si>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</si>
  <si>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</si>
  <si>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</si>
  <si>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</si>
  <si>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</si>
  <si>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</si>
  <si>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</si>
  <si>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</si>
  <si>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</si>
  <si>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</si>
  <si>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</si>
  <si>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</si>
  <si>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</si>
  <si>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</si>
  <si>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</si>
  <si>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</si>
  <si>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</si>
  <si>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</si>
  <si>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</si>
  <si>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</si>
  <si>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</si>
  <si>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</si>
  <si>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</si>
  <si>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</si>
  <si>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</si>
  <si>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</si>
  <si>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</si>
  <si>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</si>
  <si>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</si>
  <si>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</si>
  <si>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</si>
  <si>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</si>
  <si>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</si>
  <si>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</si>
  <si>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</si>
  <si>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</si>
  <si>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</si>
  <si>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</si>
  <si>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</si>
  <si>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</si>
  <si>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</si>
  <si>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</si>
  <si>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</si>
  <si>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</si>
  <si>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</si>
  <si>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</si>
  <si>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</si>
  <si>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</si>
  <si>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</si>
  <si>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</si>
  <si>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</si>
  <si>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</si>
  <si>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</si>
  <si>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</si>
  <si>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</si>
  <si>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</si>
  <si>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</si>
  <si>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</si>
  <si>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</si>
  <si>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</si>
  <si>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</si>
  <si>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</si>
  <si>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</si>
  <si>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</si>
  <si>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</si>
  <si>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</si>
  <si>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</si>
  <si>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</si>
  <si>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</si>
  <si>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</si>
  <si>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</si>
  <si>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</si>
  <si>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</si>
  <si>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</si>
  <si>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</si>
  <si>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</si>
  <si>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</si>
  <si>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</si>
  <si>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</si>
  <si>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</si>
  <si>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</si>
  <si>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</si>
  <si>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</si>
  <si>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</si>
  <si>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</si>
  <si>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</si>
  <si>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</si>
  <si>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</si>
  <si>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</si>
  <si>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</si>
  <si>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</si>
  <si>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</si>
  <si>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</si>
  <si>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</si>
  <si>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</si>
  <si>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</si>
  <si>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</si>
  <si>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</si>
  <si>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</si>
  <si>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</si>
  <si>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</si>
  <si>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</si>
  <si>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</si>
  <si>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</si>
  <si>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</si>
  <si>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</si>
  <si>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</si>
  <si>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</si>
  <si>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</si>
  <si>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</si>
  <si>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</si>
  <si>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</si>
  <si>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</si>
  <si>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</si>
  <si>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</si>
  <si>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</si>
  <si>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</si>
  <si>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</si>
  <si>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</si>
  <si>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</si>
  <si>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</si>
  <si>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</si>
  <si>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</si>
  <si>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</si>
  <si>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</si>
  <si>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</si>
  <si>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</si>
  <si>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</si>
  <si>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</si>
  <si>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</si>
  <si>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</si>
  <si>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</si>
  <si>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</si>
  <si>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</si>
  <si>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</si>
  <si>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</si>
  <si>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</si>
  <si>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</si>
  <si>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</si>
  <si>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</si>
  <si>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</si>
  <si>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</si>
  <si>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</si>
  <si>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</si>
  <si>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</si>
  <si>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</si>
  <si>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</si>
  <si>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</si>
  <si>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</si>
  <si>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</si>
  <si>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</si>
  <si>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</si>
  <si>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</si>
  <si>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</si>
  <si>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</si>
  <si>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</si>
  <si>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</si>
  <si>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</si>
  <si>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</si>
  <si>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</si>
  <si>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</si>
  <si>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</si>
  <si>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</si>
  <si>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</si>
  <si>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</si>
  <si>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</si>
  <si>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</si>
  <si>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</si>
  <si>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</si>
  <si>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</si>
  <si>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</si>
  <si>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</si>
  <si>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</si>
  <si>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</si>
  <si>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</si>
  <si>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</si>
  <si>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</si>
  <si>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</si>
  <si>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</si>
  <si>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</si>
  <si>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</si>
  <si>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</si>
  <si>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</si>
  <si>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</si>
  <si>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</si>
  <si>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</si>
  <si>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</si>
  <si>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</si>
  <si>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</si>
  <si>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</si>
  <si>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</si>
  <si>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</si>
  <si>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</si>
  <si>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</si>
  <si>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</si>
  <si>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</si>
  <si>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</si>
  <si>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</si>
  <si>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</si>
  <si>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</si>
  <si>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</si>
  <si>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</si>
  <si>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</si>
  <si>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</si>
  <si>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</si>
  <si>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</si>
  <si>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</si>
  <si>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</si>
  <si>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</si>
  <si>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</si>
  <si>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</si>
  <si>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</si>
  <si>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</si>
  <si>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</si>
  <si>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</si>
  <si>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</si>
  <si>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</si>
  <si>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</si>
  <si>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</si>
  <si>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</si>
  <si>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</si>
  <si>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</si>
  <si>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</si>
  <si>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</si>
  <si>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</si>
  <si>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</si>
  <si>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</si>
  <si>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</si>
  <si>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</si>
  <si>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</si>
  <si>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</si>
  <si>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</si>
  <si>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</si>
  <si>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</si>
  <si>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</si>
  <si>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</si>
  <si>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</si>
  <si>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</si>
  <si>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</si>
  <si>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</si>
  <si>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</si>
  <si>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</si>
  <si>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</si>
  <si>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</si>
  <si>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</si>
  <si>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</si>
  <si>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</si>
  <si>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</si>
  <si>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</si>
  <si>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</si>
  <si>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</si>
  <si>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</si>
  <si>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</si>
  <si>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</si>
  <si>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</si>
  <si>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</si>
  <si>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</si>
  <si>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</si>
  <si>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</si>
  <si>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</si>
  <si>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</si>
  <si>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</si>
  <si>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</si>
  <si>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</si>
  <si>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</si>
  <si>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</si>
  <si>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</si>
  <si>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</si>
  <si>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</si>
  <si>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</si>
  <si>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</si>
  <si>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</si>
  <si>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</si>
  <si>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</si>
  <si>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</si>
  <si>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</si>
  <si>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</si>
  <si>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</si>
  <si>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</si>
  <si>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</si>
  <si>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</si>
  <si>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</si>
  <si>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</si>
  <si>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</si>
  <si>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</si>
  <si>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</si>
  <si>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</si>
  <si>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</si>
  <si>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</si>
  <si>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</si>
  <si>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</si>
  <si>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</si>
  <si>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</si>
  <si>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</si>
  <si>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</si>
  <si>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</si>
  <si>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</si>
  <si>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</si>
  <si>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</si>
  <si>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</si>
  <si>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</si>
  <si>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</si>
  <si>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</si>
  <si>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</si>
  <si>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</si>
  <si>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</si>
  <si>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</si>
  <si>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</si>
  <si>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</si>
  <si>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</si>
  <si>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</si>
  <si>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</si>
  <si>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</si>
  <si>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</si>
  <si>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</si>
  <si>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</si>
  <si>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</si>
  <si>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</si>
  <si>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</si>
  <si>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</si>
  <si>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</si>
  <si>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</si>
  <si>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</si>
  <si>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</si>
  <si>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</si>
  <si>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</si>
  <si>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</si>
  <si>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</si>
  <si>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</si>
  <si>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</si>
  <si>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</si>
  <si>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</si>
  <si>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</si>
  <si>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</si>
  <si>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</si>
  <si>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</si>
  <si>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</si>
  <si>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</si>
  <si>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</si>
  <si>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</si>
  <si>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</si>
  <si>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</si>
  <si>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</si>
  <si>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</si>
  <si>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</si>
  <si>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</si>
  <si>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</si>
  <si>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</si>
  <si>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</si>
  <si>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</si>
  <si>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</si>
  <si>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</si>
  <si>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</si>
  <si>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</si>
  <si>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</si>
  <si>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</si>
  <si>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</si>
  <si>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</si>
  <si>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</si>
  <si>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</si>
  <si>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</si>
  <si>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</si>
  <si>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</si>
  <si>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</si>
  <si>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</si>
  <si>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</si>
  <si>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</si>
  <si>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</si>
  <si>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</si>
  <si>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</si>
  <si>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</si>
  <si>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</si>
  <si>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</si>
  <si>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</si>
  <si>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</si>
  <si>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</si>
  <si>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</si>
  <si>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</si>
  <si>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</si>
  <si>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</si>
  <si>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</si>
  <si>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</si>
  <si>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</si>
  <si>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</si>
  <si>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</si>
  <si>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</si>
  <si>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</si>
  <si>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</si>
  <si>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</si>
  <si>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</si>
  <si>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</si>
  <si>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</si>
  <si>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</si>
  <si>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</si>
  <si>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</si>
  <si>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</si>
  <si>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</si>
  <si>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</si>
  <si>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</si>
  <si>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</si>
  <si>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</si>
  <si>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</si>
  <si>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</si>
  <si>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</si>
  <si>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</si>
  <si>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</si>
  <si>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</si>
  <si>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</si>
  <si>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</si>
  <si>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</si>
  <si>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</si>
  <si>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</si>
  <si>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</si>
  <si>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</si>
  <si>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</si>
  <si>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</si>
  <si>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</si>
  <si>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</si>
  <si>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</si>
  <si>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</si>
  <si>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</si>
  <si>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</si>
  <si>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</si>
  <si>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</si>
  <si>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</si>
  <si>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</si>
  <si>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</si>
  <si>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</si>
  <si>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</si>
  <si>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</si>
  <si>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</si>
  <si>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</si>
  <si>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</si>
  <si>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</si>
  <si>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</si>
  <si>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</si>
  <si>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</si>
  <si>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</si>
  <si>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</si>
  <si>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</si>
  <si>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</si>
  <si>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</si>
  <si>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</si>
  <si>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</si>
  <si>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</si>
  <si>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</si>
  <si>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</si>
  <si>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</si>
  <si>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</si>
  <si>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</si>
  <si>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</si>
  <si>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</si>
  <si>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</si>
  <si>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</si>
  <si>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</si>
  <si>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</si>
  <si>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</si>
  <si>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</si>
  <si>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</si>
  <si>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</si>
  <si>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</si>
  <si>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</si>
  <si>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</si>
  <si>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</si>
  <si>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</si>
  <si>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</si>
  <si>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</si>
  <si>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</si>
  <si>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</si>
  <si>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</si>
  <si>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</si>
  <si>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</si>
  <si>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</si>
  <si>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</si>
  <si>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</si>
  <si>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</si>
  <si>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</si>
  <si>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</si>
  <si>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</si>
  <si>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</si>
  <si>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</si>
  <si>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</si>
  <si>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</si>
  <si>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</si>
  <si>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</si>
  <si>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</si>
  <si>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</si>
  <si>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</si>
  <si>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</si>
  <si>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</si>
  <si>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</si>
  <si>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</si>
  <si>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</si>
  <si>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</si>
  <si>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</si>
  <si>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</si>
  <si>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</si>
  <si>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</si>
  <si>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</si>
  <si>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</si>
  <si>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</si>
  <si>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</si>
  <si>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</si>
  <si>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</si>
  <si>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</si>
  <si>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</si>
  <si>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</si>
  <si>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</si>
  <si>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</si>
  <si>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</si>
  <si>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</si>
  <si>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</si>
  <si>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</si>
  <si>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</si>
  <si>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</si>
  <si>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</si>
  <si>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</si>
  <si>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</si>
  <si>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</si>
  <si>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</si>
  <si>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</si>
  <si>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</si>
  <si>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</si>
  <si>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</si>
  <si>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</si>
  <si>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</si>
  <si>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</si>
  <si>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</si>
  <si>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</si>
  <si>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</si>
  <si>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</si>
  <si>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</si>
  <si>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</si>
  <si>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</si>
  <si>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</si>
  <si>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</si>
  <si>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</si>
  <si>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</si>
  <si>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</si>
  <si>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</si>
  <si>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</si>
  <si>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</si>
  <si>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</si>
  <si>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</si>
  <si>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</si>
  <si>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</si>
  <si>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</si>
  <si>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</si>
  <si>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</si>
  <si>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</si>
  <si>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</si>
  <si>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</si>
  <si>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</si>
  <si>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</si>
  <si>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</si>
  <si>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</si>
  <si>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</si>
  <si>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</si>
  <si>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</si>
  <si>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</si>
  <si>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</si>
  <si>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</si>
  <si>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</si>
  <si>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</si>
  <si>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</si>
  <si>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</si>
  <si>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</si>
  <si>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</si>
  <si>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</si>
  <si>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</si>
  <si>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</si>
  <si>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</si>
  <si>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</si>
  <si>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</si>
  <si>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</si>
  <si>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</si>
  <si>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</si>
  <si>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</si>
  <si>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</si>
  <si>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</si>
  <si>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</si>
  <si>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</si>
  <si>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</si>
  <si>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</si>
  <si>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</si>
  <si>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</si>
  <si>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</si>
  <si>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</si>
  <si>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</si>
  <si>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</si>
  <si>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</si>
  <si>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</si>
  <si>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</si>
  <si>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</si>
  <si>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</si>
  <si>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</si>
  <si>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</si>
  <si>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</si>
  <si>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</si>
  <si>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</si>
  <si>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</si>
  <si>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</si>
  <si>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</si>
  <si>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</si>
  <si>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</si>
  <si>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</si>
  <si>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</si>
  <si>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</si>
  <si>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</si>
  <si>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</si>
  <si>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</si>
  <si>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</si>
  <si>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</si>
  <si>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</si>
  <si>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</si>
  <si>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</si>
  <si>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</si>
  <si>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</si>
  <si>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</si>
  <si>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</si>
  <si>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</si>
  <si>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</si>
  <si>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</si>
  <si>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</si>
  <si>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</si>
  <si>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</si>
  <si>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</si>
  <si>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</si>
  <si>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</si>
  <si>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</si>
  <si>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</si>
  <si>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</si>
  <si>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</si>
  <si>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</si>
  <si>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</si>
  <si>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</si>
  <si>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</si>
  <si>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</si>
  <si>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</si>
  <si>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</si>
  <si>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</si>
  <si>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</si>
  <si>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</si>
  <si>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</si>
  <si>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</si>
  <si>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</si>
  <si>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</si>
  <si>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</si>
  <si>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</si>
  <si>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</si>
  <si>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</si>
  <si>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</si>
  <si>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</si>
  <si>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</si>
  <si>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</si>
  <si>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</si>
  <si>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</si>
  <si>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</si>
  <si>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</si>
  <si>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</si>
  <si>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</si>
  <si>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</si>
  <si>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</si>
  <si>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</si>
  <si>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</si>
  <si>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</si>
  <si>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</si>
  <si>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</si>
  <si>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</si>
  <si>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</si>
  <si>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</si>
  <si>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</si>
  <si>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</si>
  <si>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</si>
  <si>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</si>
  <si>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</si>
  <si>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</si>
  <si>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</si>
  <si>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</si>
  <si>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</si>
  <si>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</si>
  <si>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</si>
  <si>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</si>
  <si>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</si>
  <si>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</si>
  <si>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</si>
  <si>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</si>
  <si>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</si>
  <si>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</si>
  <si>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</si>
  <si>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</si>
  <si>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</si>
  <si>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</si>
  <si>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</si>
  <si>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</si>
  <si>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</si>
  <si>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</si>
  <si>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</si>
  <si>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</si>
  <si>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</si>
  <si>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</si>
  <si>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</si>
  <si>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</si>
  <si>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</si>
  <si>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</si>
  <si>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</si>
  <si>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</si>
  <si>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</si>
  <si>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</si>
  <si>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</si>
  <si>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</si>
  <si>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</si>
  <si>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</si>
  <si>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</si>
  <si>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</si>
  <si>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</si>
  <si>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</si>
  <si>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</si>
  <si>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</si>
  <si>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</si>
  <si>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</si>
  <si>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</si>
  <si>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</si>
  <si>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</si>
  <si>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</si>
  <si>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</si>
  <si>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</si>
  <si>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</si>
  <si>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</si>
  <si>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</si>
  <si>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</si>
  <si>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</si>
  <si>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</si>
  <si>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</si>
  <si>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</si>
  <si>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</si>
  <si>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</si>
  <si>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</si>
  <si>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</si>
  <si>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</si>
  <si>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</si>
  <si>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</si>
  <si>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</si>
  <si>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</si>
  <si>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</si>
  <si>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</si>
  <si>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</si>
  <si>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</si>
  <si>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</si>
  <si>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</si>
  <si>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</si>
  <si>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</si>
  <si>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</si>
  <si>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</si>
  <si>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</si>
  <si>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</si>
  <si>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</si>
  <si>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</si>
  <si>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</si>
  <si>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</si>
  <si>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</si>
  <si>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</si>
  <si>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</si>
  <si>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</si>
  <si>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</si>
  <si>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</si>
  <si>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</si>
  <si>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</si>
  <si>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</si>
  <si>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</si>
  <si>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</si>
  <si>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</si>
  <si>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</si>
  <si>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</si>
  <si>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</si>
  <si>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</si>
  <si>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</si>
  <si>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</si>
  <si>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</si>
  <si>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</si>
  <si>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</si>
  <si>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</si>
  <si>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</si>
  <si>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</si>
  <si>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</si>
  <si>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</si>
  <si>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</si>
  <si>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</si>
  <si>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</si>
  <si>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</si>
  <si>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</si>
  <si>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</si>
  <si>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</si>
  <si>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</si>
  <si>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</si>
  <si>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</si>
  <si>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</si>
  <si>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</si>
  <si>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</si>
  <si>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</si>
  <si>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</si>
  <si>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</si>
  <si>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</si>
  <si>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</si>
  <si>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</si>
  <si>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</si>
  <si>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</si>
  <si>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</si>
  <si>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</si>
  <si>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</si>
  <si>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</si>
  <si>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</si>
  <si>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</si>
  <si>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</si>
  <si>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</si>
  <si>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</si>
  <si>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</si>
  <si>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</si>
  <si>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</si>
  <si>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</si>
  <si>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</si>
  <si>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</si>
  <si>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</si>
  <si>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</si>
  <si>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</si>
  <si>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</si>
  <si>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</si>
  <si>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</si>
  <si>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</si>
  <si>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</si>
  <si>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</si>
  <si>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</si>
  <si>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</si>
  <si>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</si>
  <si>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</si>
  <si>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</si>
  <si>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</si>
  <si>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</si>
  <si>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</si>
  <si>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</si>
  <si>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</si>
  <si>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</si>
  <si>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</si>
  <si>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</si>
  <si>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</si>
  <si>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</si>
  <si>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</si>
  <si>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</si>
  <si>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</si>
  <si>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</si>
  <si>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</si>
  <si>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</si>
  <si>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</si>
  <si>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</si>
  <si>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</si>
  <si>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</si>
  <si>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</si>
  <si>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</si>
  <si>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</si>
  <si>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</si>
  <si>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</si>
  <si>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</si>
  <si>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</si>
  <si>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</si>
  <si>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</si>
  <si>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</si>
  <si>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</si>
  <si>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</si>
  <si>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</si>
  <si>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</si>
  <si>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</si>
  <si>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</si>
  <si>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</si>
  <si>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</si>
  <si>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</si>
  <si>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</si>
  <si>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</si>
  <si>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</si>
  <si>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</si>
  <si>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</si>
  <si>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</si>
  <si>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</si>
  <si>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</si>
  <si>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</si>
  <si>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</si>
  <si>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</si>
  <si>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</si>
  <si>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</si>
  <si>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</si>
  <si>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</si>
  <si>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</si>
  <si>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</si>
  <si>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</si>
  <si>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</si>
  <si>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</si>
  <si>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</si>
  <si>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</si>
  <si>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</si>
  <si>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</si>
  <si>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</si>
  <si>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</si>
  <si>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</si>
  <si>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</si>
  <si>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</si>
  <si>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</si>
  <si>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</si>
  <si>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</si>
  <si>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</si>
  <si>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</si>
  <si>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</si>
  <si>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</si>
  <si>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</si>
  <si>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</si>
  <si>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</si>
  <si>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</si>
  <si>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</si>
  <si>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</si>
  <si>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</si>
  <si>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</si>
  <si>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</si>
  <si>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</si>
  <si>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</si>
  <si>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</si>
  <si>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</si>
  <si>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</si>
  <si>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</si>
  <si>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</si>
  <si>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</si>
  <si>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</si>
  <si>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</si>
  <si>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</si>
  <si>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</si>
  <si>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</si>
  <si>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</si>
  <si>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</si>
  <si>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</si>
  <si>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</si>
  <si>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</si>
  <si>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</si>
  <si>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</si>
  <si>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</si>
  <si>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</si>
  <si>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</si>
  <si>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</si>
  <si>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</si>
  <si>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</si>
  <si>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</si>
  <si>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</si>
  <si>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</si>
  <si>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</si>
  <si>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</si>
  <si>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</si>
  <si>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</si>
  <si>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</si>
  <si>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</si>
  <si>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</si>
  <si>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</si>
  <si>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</si>
  <si>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</si>
  <si>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</si>
  <si>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</si>
  <si>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</si>
  <si>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</si>
  <si>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</si>
  <si>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</si>
  <si>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</si>
  <si>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</si>
  <si>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</si>
  <si>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</si>
  <si>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</si>
  <si>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</si>
  <si>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</si>
  <si>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</si>
  <si>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</si>
  <si>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</si>
  <si>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</si>
  <si>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</si>
  <si>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</si>
  <si>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</si>
  <si>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</si>
  <si>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</si>
  <si>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</si>
  <si>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</si>
  <si>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</si>
  <si>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</si>
  <si>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</si>
  <si>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</si>
  <si>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</si>
  <si>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</si>
  <si>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</si>
  <si>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</si>
  <si>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</si>
  <si>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</si>
  <si>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</si>
  <si>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</si>
  <si>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</si>
  <si>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</si>
  <si>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</si>
  <si>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</si>
  <si>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</si>
  <si>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</si>
  <si>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</si>
  <si>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</si>
  <si>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</si>
  <si>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</si>
  <si>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</si>
  <si>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</si>
  <si>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</si>
  <si>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</si>
  <si>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</si>
  <si>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</si>
  <si>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</si>
  <si>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</si>
  <si>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</si>
  <si>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</si>
  <si>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</si>
  <si>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</si>
  <si>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</si>
  <si>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</si>
  <si>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</si>
  <si>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</si>
  <si>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</si>
  <si>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</si>
  <si>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</si>
  <si>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</si>
  <si>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</si>
  <si>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</si>
  <si>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</si>
  <si>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</si>
  <si>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</si>
  <si>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</si>
  <si>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</si>
  <si>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</si>
  <si>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</si>
  <si>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</si>
  <si>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</si>
  <si>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</si>
  <si>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</si>
  <si>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</si>
  <si>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</si>
  <si>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</si>
  <si>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</si>
  <si>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</si>
  <si>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</si>
  <si>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</si>
  <si>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</si>
  <si>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</si>
  <si>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</si>
  <si>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</si>
  <si>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</si>
  <si>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</si>
  <si>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</si>
  <si>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</si>
  <si>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</si>
  <si>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</si>
  <si>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</si>
  <si>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</si>
  <si>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</si>
  <si>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</si>
  <si>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</si>
  <si>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</si>
  <si>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</si>
  <si>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</si>
  <si>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</si>
  <si>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</si>
  <si>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</si>
  <si>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</si>
  <si>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</si>
  <si>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</si>
  <si>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</si>
  <si>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</si>
  <si>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</si>
  <si>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</si>
  <si>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</si>
  <si>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</si>
  <si>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</si>
  <si>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</si>
  <si>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</si>
  <si>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</si>
  <si>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</si>
  <si>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</si>
  <si>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</si>
  <si>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</si>
  <si>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</si>
  <si>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</si>
  <si>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</si>
  <si>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</si>
  <si>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</si>
  <si>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</si>
  <si>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</si>
  <si>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</si>
  <si>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</si>
  <si>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</si>
  <si>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</si>
  <si>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</si>
  <si>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</si>
  <si>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</si>
  <si>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</si>
  <si>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</si>
  <si>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</si>
  <si>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</si>
  <si>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</si>
  <si>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</si>
  <si>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</si>
  <si>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</si>
  <si>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</si>
  <si>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</si>
  <si>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</si>
  <si>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</si>
  <si>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</si>
  <si>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</si>
  <si>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</si>
  <si>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</si>
  <si>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</si>
  <si>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</si>
  <si>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</si>
  <si>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</si>
  <si>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</si>
  <si>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</si>
  <si>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</si>
  <si>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</si>
  <si>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</si>
  <si>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</si>
  <si>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</si>
  <si>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</si>
  <si>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</si>
  <si>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</si>
  <si>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</si>
  <si>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</si>
  <si>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</si>
  <si>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</si>
  <si>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</si>
  <si>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</si>
  <si>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</si>
  <si>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</si>
  <si>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</si>
  <si>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</si>
  <si>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</si>
  <si>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</si>
  <si>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</si>
  <si>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</si>
  <si>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</si>
  <si>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</si>
  <si>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</si>
  <si>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</si>
  <si>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</si>
  <si>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</si>
  <si>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</si>
  <si>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</si>
  <si>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</si>
  <si>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</si>
  <si>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</si>
  <si>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</si>
  <si>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</si>
  <si>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</si>
  <si>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</si>
  <si>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</si>
  <si>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</si>
  <si>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</si>
  <si>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</si>
  <si>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</si>
  <si>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</si>
  <si>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</si>
  <si>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</si>
  <si>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</si>
  <si>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</si>
  <si>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</si>
  <si>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</si>
  <si>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</si>
  <si>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</si>
  <si>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</si>
  <si>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</si>
  <si>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</si>
  <si>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</si>
  <si>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</si>
  <si>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</si>
  <si>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</si>
  <si>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</si>
  <si>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</si>
  <si>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</si>
  <si>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</si>
  <si>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</si>
  <si>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</si>
  <si>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</si>
  <si>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</si>
  <si>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</si>
  <si>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</si>
  <si>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</si>
  <si>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</si>
  <si>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</si>
  <si>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</si>
  <si>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</si>
  <si>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</si>
  <si>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</si>
  <si>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</si>
  <si>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</si>
  <si>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</si>
  <si>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</si>
  <si>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</si>
  <si>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</si>
  <si>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</si>
  <si>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</si>
  <si>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</si>
  <si>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</si>
  <si>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</si>
  <si>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</si>
  <si>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</si>
  <si>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</si>
  <si>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</si>
  <si>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</si>
  <si>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</si>
  <si>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</si>
  <si>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</si>
  <si>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</si>
  <si>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</si>
  <si>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</si>
  <si>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</si>
  <si>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</si>
  <si>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</si>
  <si>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</si>
  <si>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</si>
  <si>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</si>
  <si>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</si>
  <si>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</si>
  <si>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</si>
  <si>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</si>
  <si>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</si>
  <si>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</si>
  <si>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</si>
  <si>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</si>
  <si>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</si>
  <si>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</si>
  <si>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</si>
  <si>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</si>
  <si>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</si>
  <si>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</si>
  <si>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</si>
  <si>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</si>
  <si>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</si>
  <si>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</si>
  <si>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</si>
  <si>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</si>
  <si>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</si>
  <si>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</si>
  <si>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</si>
  <si>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</si>
  <si>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</si>
  <si>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</si>
  <si>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</si>
  <si>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</si>
  <si>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</si>
  <si>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</si>
  <si>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</si>
  <si>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</si>
  <si>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</si>
  <si>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</si>
  <si>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</si>
  <si>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</si>
  <si>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</si>
  <si>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</si>
  <si>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</si>
  <si>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</si>
  <si>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</si>
  <si>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</si>
  <si>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</si>
  <si>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</si>
  <si>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</si>
  <si>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</si>
  <si>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</si>
  <si>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</si>
  <si>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</si>
  <si>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</si>
  <si>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</si>
  <si>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</si>
  <si>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</si>
  <si>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</si>
  <si>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</si>
  <si>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</si>
  <si>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</si>
  <si>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</si>
  <si>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</si>
  <si>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</si>
  <si>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</si>
  <si>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</si>
  <si>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</si>
  <si>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</si>
  <si>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</si>
  <si>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</si>
  <si>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</si>
  <si>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</si>
  <si>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</si>
  <si>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</si>
  <si>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</si>
  <si>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</si>
  <si>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</si>
  <si>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</si>
  <si>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</si>
  <si>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</si>
  <si>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</si>
  <si>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</si>
  <si>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</si>
  <si>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</si>
  <si>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</si>
  <si>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</si>
  <si>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</si>
  <si>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</si>
  <si>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</si>
  <si>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</si>
  <si>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</si>
  <si>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</si>
  <si>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</si>
  <si>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</si>
  <si>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</si>
  <si>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</si>
  <si>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</si>
  <si>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</si>
  <si>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</si>
  <si>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</si>
  <si>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</si>
  <si>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</si>
  <si>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</si>
  <si>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</si>
  <si>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</si>
  <si>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</si>
  <si>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</si>
  <si>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</si>
  <si>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</si>
  <si>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</si>
  <si>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</si>
  <si>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</si>
  <si>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</si>
  <si>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</si>
  <si>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</si>
  <si>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</si>
  <si>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</si>
  <si>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</si>
  <si>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</si>
  <si>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</si>
  <si>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</si>
  <si>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</si>
  <si>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</si>
  <si>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</si>
  <si>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</si>
  <si>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</si>
  <si>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</si>
  <si>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</si>
  <si>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</si>
  <si>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</si>
  <si>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</si>
  <si>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</si>
  <si>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</si>
  <si>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</si>
  <si>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</si>
  <si>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</si>
  <si>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</si>
  <si>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</si>
  <si>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</si>
  <si>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</si>
  <si>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</si>
  <si>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</si>
  <si>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</si>
  <si>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</si>
  <si>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</si>
  <si>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</si>
  <si>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</si>
  <si>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</si>
  <si>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</si>
  <si>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</si>
  <si>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</si>
  <si>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</si>
  <si>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</si>
  <si>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</si>
  <si>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</si>
  <si>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</si>
  <si>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</si>
  <si>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</si>
  <si>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</si>
  <si>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</si>
  <si>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</si>
  <si>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</si>
  <si>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</si>
  <si>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</si>
  <si>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</si>
  <si>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</si>
  <si>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</si>
  <si>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</si>
  <si>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</si>
  <si>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</si>
  <si>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</si>
  <si>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</si>
  <si>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</si>
  <si>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</si>
  <si>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</si>
  <si>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</si>
  <si>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</si>
  <si>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</si>
  <si>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</si>
  <si>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</si>
  <si>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</si>
  <si>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</si>
  <si>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</si>
  <si>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</si>
  <si>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</si>
  <si>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</si>
  <si>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</si>
  <si>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</si>
  <si>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</si>
  <si>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</si>
  <si>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</si>
  <si>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</si>
  <si>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</si>
  <si>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</si>
  <si>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</si>
  <si>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</si>
  <si>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</si>
  <si>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</si>
  <si>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</si>
  <si>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</si>
  <si>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</si>
  <si>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</si>
  <si>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</si>
  <si>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</si>
  <si>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</si>
  <si>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</si>
  <si>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</si>
  <si>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</si>
  <si>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</si>
  <si>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</si>
  <si>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</si>
  <si>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</si>
  <si>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</si>
  <si>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</si>
  <si>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</si>
  <si>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</si>
  <si>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</si>
  <si>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</si>
  <si>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</si>
  <si>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</si>
  <si>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</si>
  <si>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</si>
  <si>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</si>
  <si>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</si>
  <si>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</si>
  <si>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</si>
  <si>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</si>
  <si>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</si>
  <si>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</si>
  <si>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</si>
  <si>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</si>
  <si>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</si>
  <si>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</si>
  <si>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</si>
  <si>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</si>
  <si>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</si>
  <si>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</si>
  <si>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</si>
  <si>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</si>
  <si>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</si>
  <si>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</si>
  <si>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</si>
  <si>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</si>
  <si>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</si>
  <si>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</si>
  <si>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</si>
  <si>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</si>
  <si>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</si>
  <si>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</si>
  <si>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</si>
  <si>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</si>
  <si>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</si>
  <si>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</si>
  <si>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</si>
  <si>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</si>
  <si>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</si>
  <si>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</si>
  <si>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</si>
  <si>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</si>
  <si>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</si>
  <si>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</si>
  <si>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</si>
  <si>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</si>
  <si>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</si>
  <si>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</si>
  <si>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</si>
  <si>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</si>
  <si>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</si>
  <si>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</si>
  <si>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</si>
  <si>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</si>
  <si>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</si>
  <si>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</si>
  <si>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</si>
  <si>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</si>
  <si>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</si>
  <si>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</si>
  <si>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</si>
  <si>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</si>
  <si>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</si>
  <si>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</si>
  <si>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</si>
  <si>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</si>
  <si>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</si>
  <si>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</si>
  <si>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</si>
  <si>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</si>
  <si>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</si>
  <si>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</si>
  <si>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</si>
  <si>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</si>
  <si>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</si>
  <si>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</si>
  <si>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</si>
  <si>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</si>
  <si>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</si>
  <si>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</si>
  <si>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</si>
  <si>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</si>
  <si>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</si>
  <si>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</si>
  <si>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</si>
  <si>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</si>
  <si>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</si>
  <si>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</si>
  <si>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</si>
  <si>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</si>
  <si>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</si>
  <si>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</si>
  <si>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</si>
  <si>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</si>
  <si>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</si>
  <si>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</si>
  <si>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</si>
  <si>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</si>
  <si>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</si>
  <si>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</si>
  <si>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</si>
  <si>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</si>
  <si>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</si>
  <si>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</si>
  <si>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</si>
  <si>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</si>
  <si>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</si>
  <si>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</si>
  <si>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</si>
  <si>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</si>
  <si>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</si>
  <si>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</si>
  <si>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</si>
  <si>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</si>
  <si>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</si>
  <si>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</si>
  <si>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</si>
  <si>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</si>
  <si>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</si>
  <si>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</si>
  <si>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</si>
  <si>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</si>
  <si>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</si>
  <si>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</si>
  <si>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</si>
  <si>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</si>
  <si>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</si>
  <si>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</si>
  <si>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</si>
  <si>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</si>
  <si>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</si>
  <si>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</si>
  <si>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</si>
  <si>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</si>
  <si>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</si>
  <si>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</si>
  <si>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</si>
  <si>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</si>
  <si>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</si>
  <si>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</si>
  <si>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</si>
  <si>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</si>
  <si>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</si>
  <si>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</si>
  <si>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</si>
  <si>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</si>
  <si>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</si>
  <si>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</si>
  <si>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</si>
  <si>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</si>
  <si>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</si>
  <si>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</si>
  <si>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</si>
  <si>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</si>
  <si>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</si>
  <si>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</si>
  <si>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</si>
  <si>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</si>
  <si>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</si>
  <si>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</si>
  <si>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</si>
  <si>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</si>
  <si>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</si>
  <si>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</si>
  <si>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</si>
  <si>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</si>
  <si>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</si>
  <si>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</si>
  <si>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</si>
  <si>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</si>
  <si>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</si>
  <si>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</si>
  <si>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</si>
  <si>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</si>
  <si>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</si>
  <si>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</si>
  <si>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</si>
  <si>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</si>
  <si>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</si>
  <si>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</si>
  <si>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</si>
  <si>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</si>
  <si>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</si>
  <si>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</si>
  <si>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</si>
  <si>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</si>
  <si>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</si>
  <si>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</si>
  <si>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</si>
  <si>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</si>
  <si>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</si>
  <si>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</si>
  <si>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</si>
  <si>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</si>
  <si>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</si>
  <si>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</si>
  <si>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</si>
  <si>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</si>
  <si>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</si>
  <si>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</si>
  <si>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</si>
  <si>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</si>
  <si>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</si>
  <si>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</si>
  <si>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</si>
  <si>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</si>
  <si>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</si>
  <si>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</si>
  <si>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</si>
  <si>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</si>
  <si>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</si>
  <si>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</si>
  <si>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</si>
  <si>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</si>
  <si>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</si>
  <si>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</si>
  <si>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</si>
  <si>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</si>
  <si>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</si>
  <si>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</si>
  <si>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</si>
  <si>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</si>
  <si>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</si>
  <si>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</si>
  <si>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</si>
  <si>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</si>
  <si>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</si>
  <si>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</si>
  <si>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</si>
  <si>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</si>
  <si>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</si>
  <si>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</si>
  <si>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</si>
  <si>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</si>
  <si>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</si>
  <si>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</si>
  <si>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</si>
  <si>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</si>
  <si>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</si>
  <si>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</si>
  <si>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</si>
  <si>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</si>
  <si>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</si>
  <si>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</si>
  <si>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</si>
  <si>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</si>
  <si>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</si>
  <si>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</si>
  <si>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</si>
  <si>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</si>
  <si>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</si>
  <si>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</si>
  <si>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</si>
  <si>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</si>
  <si>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</si>
  <si>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</si>
  <si>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</si>
  <si>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</si>
  <si>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</si>
  <si>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</si>
  <si>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</si>
  <si>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</si>
  <si>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</si>
  <si>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</si>
  <si>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</si>
  <si>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</si>
  <si>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</si>
  <si>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</si>
  <si>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</si>
  <si>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</si>
  <si>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</si>
  <si>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</si>
  <si>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</si>
  <si>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</si>
  <si>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</si>
  <si>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</si>
  <si>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</si>
  <si>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</si>
  <si>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</si>
  <si>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</si>
  <si>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</si>
  <si>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</si>
  <si>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</si>
  <si>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</si>
  <si>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</si>
  <si>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</si>
  <si>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</si>
  <si>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</si>
  <si>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</si>
  <si>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</si>
  <si>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</si>
  <si>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</si>
  <si>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</si>
  <si>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</si>
  <si>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</si>
  <si>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</si>
  <si>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</si>
  <si>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</si>
  <si>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</si>
  <si>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</si>
  <si>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</si>
  <si>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</si>
  <si>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</si>
  <si>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</si>
  <si>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</si>
  <si>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</si>
  <si>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</si>
  <si>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</si>
  <si>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</si>
  <si>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</si>
  <si>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</si>
  <si>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</si>
  <si>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</si>
  <si>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</si>
  <si>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</si>
  <si>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</si>
  <si>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</si>
  <si>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</si>
  <si>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</si>
  <si>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</si>
  <si>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</si>
  <si>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</si>
  <si>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</si>
  <si>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</si>
  <si>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</si>
  <si>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</si>
  <si>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</si>
  <si>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</si>
  <si>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</si>
  <si>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</si>
  <si>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</si>
  <si>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</si>
  <si>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</si>
  <si>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</si>
  <si>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</si>
  <si>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</si>
  <si>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</si>
  <si>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</si>
  <si>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</si>
  <si>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</si>
  <si>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</si>
  <si>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</si>
  <si>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</si>
  <si>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</si>
  <si>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</si>
  <si>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</si>
  <si>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</si>
  <si>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</si>
  <si>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</si>
  <si>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</si>
  <si>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</si>
  <si>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</si>
  <si>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</si>
  <si>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</si>
  <si>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</si>
  <si>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</si>
  <si>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</si>
  <si>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</si>
  <si>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</si>
  <si>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</si>
  <si>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</si>
  <si>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</si>
  <si>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</si>
  <si>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</si>
  <si>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</si>
  <si>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</si>
  <si>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</si>
  <si>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</si>
  <si>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</si>
  <si>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</si>
  <si>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</si>
  <si>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</si>
  <si>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</si>
  <si>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</si>
  <si>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</si>
  <si>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</si>
  <si>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</si>
  <si>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</si>
  <si>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</si>
  <si>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</si>
  <si>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</si>
  <si>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</si>
  <si>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</si>
  <si>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</si>
  <si>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</si>
  <si>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</si>
  <si>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</si>
  <si>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</si>
  <si>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</si>
  <si>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</si>
  <si>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</si>
  <si>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</si>
  <si>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</si>
  <si>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</si>
  <si>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</si>
  <si>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</si>
  <si>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</si>
  <si>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</si>
  <si>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</si>
  <si>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</si>
  <si>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</si>
  <si>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</si>
  <si>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</si>
  <si>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</si>
  <si>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</si>
  <si>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</si>
  <si>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</si>
  <si>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</si>
  <si>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</si>
  <si>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</si>
  <si>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</si>
  <si>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</si>
  <si>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</si>
  <si>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</si>
  <si>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</si>
  <si>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</si>
  <si>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</si>
  <si>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</si>
  <si>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</si>
  <si>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</si>
  <si>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</si>
  <si>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</si>
  <si>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</si>
  <si>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</si>
  <si>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</si>
  <si>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</si>
  <si>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</si>
  <si>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</si>
  <si>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</si>
  <si>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</si>
  <si>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</si>
  <si>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</si>
  <si>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</si>
  <si>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</si>
  <si>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</si>
  <si>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</si>
  <si>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</si>
  <si>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</si>
  <si>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</si>
  <si>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</si>
  <si>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</si>
  <si>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</si>
  <si>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</si>
  <si>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</si>
  <si>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</si>
  <si>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</si>
  <si>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</si>
  <si>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</si>
  <si>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</si>
  <si>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</si>
  <si>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</si>
  <si>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</si>
  <si>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</si>
  <si>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</si>
  <si>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</si>
  <si>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</si>
  <si>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</si>
  <si>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</si>
  <si>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</si>
  <si>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</si>
  <si>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</si>
  <si>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</si>
  <si>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</si>
  <si>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</si>
  <si>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</si>
  <si>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</si>
  <si>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</si>
  <si>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</si>
  <si>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</si>
  <si>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</si>
  <si>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</si>
  <si>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</si>
  <si>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</si>
  <si>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</si>
  <si>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</si>
  <si>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</si>
  <si>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</si>
  <si>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</si>
  <si>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</si>
  <si>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</si>
  <si>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</si>
  <si>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</si>
  <si>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</si>
  <si>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</si>
  <si>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</si>
  <si>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</si>
  <si>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</si>
  <si>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</si>
  <si>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</si>
  <si>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</si>
  <si>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</si>
  <si>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</si>
  <si>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</si>
  <si>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</si>
  <si>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</si>
  <si>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</si>
  <si>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</si>
  <si>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</si>
  <si>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</si>
  <si>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</si>
  <si>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</si>
  <si>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</si>
  <si>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</si>
  <si>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</si>
  <si>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</si>
  <si>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</si>
  <si>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</si>
  <si>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</si>
  <si>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</si>
  <si>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</si>
  <si>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</si>
  <si>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</si>
  <si>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</si>
  <si>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</si>
  <si>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</si>
  <si>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</si>
  <si>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</si>
  <si>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</si>
  <si>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</si>
  <si>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</si>
  <si>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</si>
  <si>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</si>
  <si>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</si>
  <si>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</si>
  <si>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</si>
  <si>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</si>
  <si>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</si>
  <si>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</si>
  <si>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</si>
  <si>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</si>
  <si>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</si>
  <si>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</si>
  <si>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</si>
  <si>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</si>
  <si>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</si>
  <si>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</si>
  <si>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</si>
  <si>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</si>
  <si>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</si>
  <si>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</si>
  <si>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</si>
  <si>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</si>
  <si>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</si>
  <si>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</si>
  <si>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</si>
  <si>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</si>
  <si>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</si>
  <si>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</si>
  <si>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</si>
  <si>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</si>
  <si>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</si>
  <si>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</si>
  <si>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</si>
  <si>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</si>
  <si>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</si>
  <si>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</si>
  <si>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</si>
  <si>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</si>
  <si>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</si>
  <si>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</si>
  <si>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</si>
  <si>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</si>
  <si>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</si>
  <si>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</si>
  <si>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</si>
  <si>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</si>
  <si>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</si>
  <si>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</si>
  <si>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</si>
  <si>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</si>
  <si>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</si>
  <si>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</si>
  <si>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</si>
  <si>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</si>
  <si>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</si>
  <si>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</si>
  <si>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</si>
  <si>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</si>
  <si>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</si>
  <si>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</si>
  <si>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</si>
  <si>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</si>
  <si>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</si>
  <si>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</si>
  <si>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</si>
  <si>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</si>
  <si>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</si>
  <si>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</si>
  <si>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</si>
  <si>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</si>
  <si>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</si>
  <si>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</si>
  <si>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</si>
  <si>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</si>
  <si>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</si>
  <si>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</si>
  <si>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</si>
  <si>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</si>
  <si>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</si>
  <si>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</si>
  <si>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</si>
  <si>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</si>
  <si>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</si>
  <si>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</si>
  <si>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</si>
  <si>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</si>
  <si>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</si>
  <si>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</si>
  <si>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</si>
  <si>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</si>
  <si>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</si>
  <si>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</si>
  <si>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</si>
  <si>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</si>
  <si>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</si>
  <si>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</si>
  <si>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</si>
  <si>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</si>
  <si>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</si>
  <si>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</si>
  <si>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</si>
  <si>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</si>
  <si>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</si>
  <si>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</si>
  <si>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</si>
  <si>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</si>
  <si>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</si>
  <si>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</si>
  <si>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</si>
  <si>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</si>
  <si>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</si>
  <si>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</si>
  <si>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</si>
  <si>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</si>
  <si>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</si>
  <si>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</si>
  <si>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</si>
  <si>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</si>
  <si>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</si>
  <si>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</si>
  <si>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</si>
  <si>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</si>
  <si>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</si>
  <si>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</si>
  <si>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</si>
  <si>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</si>
  <si>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</si>
  <si>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</si>
  <si>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</si>
  <si>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</si>
  <si>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</si>
  <si>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</si>
  <si>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</si>
  <si>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</si>
  <si>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</si>
  <si>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</si>
  <si>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</si>
  <si>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</si>
  <si>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</si>
  <si>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</si>
  <si>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</si>
  <si>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</si>
  <si>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</si>
  <si>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</si>
  <si>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</si>
  <si>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</si>
  <si>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</si>
  <si>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</si>
  <si>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</si>
  <si>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</si>
  <si>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</si>
  <si>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</si>
  <si>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</si>
  <si>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</si>
  <si>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</si>
  <si>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</si>
  <si>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</si>
  <si>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</si>
  <si>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</si>
  <si>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</si>
  <si>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</si>
  <si>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</si>
  <si>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</si>
  <si>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</si>
  <si>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</si>
  <si>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</si>
  <si>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</si>
  <si>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</si>
  <si>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</si>
  <si>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</si>
  <si>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</si>
  <si>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</si>
  <si>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</si>
  <si>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</si>
  <si>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</si>
  <si>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</si>
  <si>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</si>
  <si>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</si>
  <si>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</si>
  <si>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</si>
  <si>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</si>
  <si>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</si>
  <si>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</si>
  <si>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</si>
  <si>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</si>
  <si>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</si>
  <si>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</si>
  <si>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</si>
  <si>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</si>
  <si>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</si>
  <si>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</si>
  <si>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</si>
  <si>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</si>
  <si>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</si>
  <si>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</si>
  <si>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</si>
  <si>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</si>
  <si>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</si>
  <si>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</si>
  <si>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</si>
  <si>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</si>
  <si>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</si>
  <si>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</si>
  <si>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</si>
  <si>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</si>
  <si>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</si>
  <si>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</si>
  <si>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</si>
  <si>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</si>
  <si>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</si>
  <si>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</si>
  <si>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</si>
  <si>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</si>
  <si>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</si>
  <si>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</si>
  <si>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</si>
  <si>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</si>
  <si>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</si>
  <si>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</si>
  <si>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</si>
  <si>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</si>
  <si>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</si>
  <si>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</si>
  <si>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</si>
  <si>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</si>
  <si>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</si>
  <si>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</si>
  <si>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</si>
  <si>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</si>
  <si>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</si>
  <si>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</si>
  <si>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</si>
  <si>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</si>
  <si>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</si>
  <si>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</si>
  <si>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</si>
  <si>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</si>
  <si>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</si>
  <si>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</si>
  <si>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</si>
  <si>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</si>
  <si>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</si>
  <si>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</si>
  <si>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</si>
  <si>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</si>
  <si>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</si>
  <si>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</si>
  <si>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</si>
  <si>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</si>
  <si>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</si>
  <si>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</si>
  <si>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</si>
  <si>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</si>
  <si>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</si>
  <si>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</si>
  <si>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</si>
  <si>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</si>
  <si>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</si>
  <si>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</si>
  <si>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</si>
  <si>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</si>
  <si>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</si>
  <si>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</si>
  <si>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</si>
  <si>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</si>
  <si>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</si>
  <si>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</si>
  <si>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</si>
  <si>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</si>
  <si>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</si>
  <si>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</si>
  <si>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</si>
  <si>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</si>
  <si>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</si>
  <si>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</si>
  <si>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</si>
  <si>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</si>
  <si>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</si>
  <si>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</si>
  <si>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</si>
  <si>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</si>
  <si>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</si>
  <si>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</si>
  <si>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</si>
  <si>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</si>
  <si>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</si>
  <si>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</si>
  <si>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</si>
  <si>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</si>
  <si>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</si>
  <si>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</si>
  <si>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</si>
  <si>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</si>
  <si>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</si>
  <si>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</si>
  <si>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</si>
  <si>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</si>
  <si>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</si>
  <si>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</si>
  <si>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</si>
  <si>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</si>
  <si>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</si>
  <si>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</si>
  <si>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</si>
  <si>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</si>
  <si>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</si>
  <si>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</si>
  <si>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</si>
  <si>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</si>
  <si>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</si>
  <si>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</si>
  <si>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</si>
  <si>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</si>
  <si>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</si>
  <si>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</si>
  <si>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</si>
  <si>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</si>
  <si>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</si>
  <si>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</si>
  <si>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</si>
  <si>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</si>
  <si>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</si>
  <si>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</si>
  <si>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</si>
  <si>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</si>
  <si>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</si>
  <si>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</si>
  <si>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</si>
  <si>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</si>
  <si>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</si>
  <si>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</si>
  <si>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</si>
  <si>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</si>
  <si>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</si>
  <si>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</si>
  <si>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</si>
  <si>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</si>
  <si>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</si>
  <si>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</si>
  <si>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</si>
  <si>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</si>
  <si>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</si>
  <si>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</si>
  <si>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</si>
  <si>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</si>
  <si>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</si>
  <si>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</si>
  <si>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</si>
  <si>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</si>
  <si>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</si>
  <si>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</si>
  <si>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</si>
  <si>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</si>
  <si>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</si>
  <si>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</si>
  <si>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</si>
  <si>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</si>
  <si>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</si>
  <si>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</si>
  <si>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</si>
  <si>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</si>
  <si>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</si>
  <si>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</si>
  <si>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</si>
  <si>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</si>
  <si>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</si>
  <si>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</si>
  <si>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</si>
  <si>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</si>
  <si>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</si>
  <si>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</si>
  <si>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</si>
  <si>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</si>
  <si>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</si>
  <si>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</si>
  <si>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</si>
  <si>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</si>
  <si>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</si>
  <si>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</si>
  <si>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</si>
  <si>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</si>
  <si>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</si>
  <si>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</si>
  <si>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</si>
  <si>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</si>
  <si>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</si>
  <si>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</si>
  <si>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</si>
  <si>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</si>
  <si>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</si>
  <si>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</si>
  <si>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</si>
  <si>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</si>
  <si>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</si>
  <si>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</si>
  <si>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</si>
  <si>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</si>
  <si>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</si>
  <si>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</si>
  <si>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</si>
  <si>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</si>
  <si>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</si>
  <si>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</si>
  <si>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</si>
  <si>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</si>
  <si>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</si>
  <si>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</si>
  <si>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</si>
  <si>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</si>
  <si>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</si>
  <si>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</si>
  <si>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</si>
  <si>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</si>
  <si>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</si>
  <si>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</si>
  <si>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</si>
  <si>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</si>
  <si>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</si>
  <si>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</si>
  <si>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</si>
  <si>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</si>
  <si>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</si>
  <si>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</si>
  <si>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</si>
  <si>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</si>
  <si>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</si>
  <si>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</si>
  <si>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</si>
  <si>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</si>
  <si>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</si>
  <si>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</si>
  <si>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</si>
  <si>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</si>
  <si>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</si>
  <si>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</si>
  <si>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</si>
  <si>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</si>
  <si>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</si>
  <si>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</si>
  <si>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</si>
  <si>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</si>
  <si>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</si>
  <si>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</si>
  <si>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</si>
  <si>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</si>
  <si>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</si>
  <si>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</si>
  <si>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</si>
  <si>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</si>
  <si>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</si>
  <si>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</si>
  <si>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</si>
  <si>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</si>
  <si>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</si>
  <si>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</si>
  <si>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</si>
  <si>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</si>
  <si>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</si>
  <si>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</si>
  <si>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</si>
  <si>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</si>
  <si>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</si>
  <si>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</si>
  <si>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</si>
  <si>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</si>
  <si>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</si>
  <si>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</si>
  <si>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</si>
  <si>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</si>
  <si>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</si>
  <si>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</si>
  <si>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</si>
  <si>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</si>
  <si>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</si>
  <si>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</si>
  <si>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</si>
  <si>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</si>
  <si>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</si>
  <si>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</si>
  <si>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</si>
  <si>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</si>
  <si>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</si>
  <si>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</si>
  <si>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</si>
  <si>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</si>
  <si>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</si>
  <si>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</si>
  <si>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</si>
  <si>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</si>
  <si>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</si>
  <si>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</si>
  <si>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</si>
  <si>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</si>
  <si>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</si>
  <si>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</si>
  <si>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</si>
  <si>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</si>
  <si>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</si>
  <si>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</si>
  <si>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</si>
  <si>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</si>
  <si>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</si>
  <si>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</si>
  <si>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</si>
  <si>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</si>
  <si>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</si>
  <si>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</si>
  <si>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</si>
  <si>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</si>
  <si>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</si>
  <si>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</si>
  <si>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</si>
  <si>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</si>
  <si>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</si>
  <si>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</si>
  <si>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</si>
  <si>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</si>
  <si>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</si>
  <si>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</si>
  <si>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</si>
  <si>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</si>
  <si>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</si>
  <si>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</si>
  <si>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</si>
  <si>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</si>
  <si>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</si>
  <si>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</si>
  <si>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</si>
  <si>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</si>
  <si>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</si>
  <si>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</si>
  <si>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</si>
  <si>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</si>
  <si>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</si>
  <si>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</si>
  <si>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</si>
  <si>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</si>
  <si>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</si>
  <si>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</si>
  <si>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</si>
  <si>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</si>
  <si>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</si>
  <si>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</si>
  <si>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</si>
  <si>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</si>
  <si>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</si>
  <si>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</si>
  <si>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</si>
  <si>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</si>
  <si>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</si>
  <si>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</si>
  <si>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</si>
  <si>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</si>
  <si>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</si>
  <si>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</si>
  <si>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</si>
  <si>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</si>
  <si>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</si>
  <si>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</si>
  <si>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</si>
  <si>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</si>
  <si>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</si>
  <si>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</si>
  <si>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</si>
  <si>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</si>
  <si>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</si>
  <si>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</si>
  <si>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</si>
  <si>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</si>
  <si>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</si>
  <si>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</si>
  <si>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</si>
  <si>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</si>
  <si>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</si>
  <si>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</si>
  <si>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</si>
  <si>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</si>
  <si>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</si>
  <si>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</si>
  <si>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</si>
  <si>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</si>
  <si>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</si>
  <si>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</si>
  <si>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</si>
  <si>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</si>
  <si>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</si>
  <si>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</si>
  <si>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</si>
  <si>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</si>
  <si>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</si>
  <si>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</si>
  <si>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</si>
  <si>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</si>
  <si>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</si>
  <si>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</si>
  <si>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</si>
  <si>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</si>
  <si>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</si>
  <si>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</si>
  <si>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</si>
  <si>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</si>
  <si>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</si>
  <si>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</si>
  <si>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</si>
  <si>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</si>
  <si>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</si>
  <si>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</si>
  <si>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</si>
  <si>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</si>
  <si>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</si>
  <si>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</si>
  <si>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</si>
  <si>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</si>
  <si>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</si>
  <si>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</si>
  <si>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</si>
  <si>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</si>
  <si>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</si>
  <si>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</si>
  <si>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</si>
  <si>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</si>
  <si>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</si>
  <si>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</si>
  <si>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</si>
  <si>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</si>
  <si>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</si>
  <si>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</si>
  <si>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</si>
  <si>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</si>
  <si>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</si>
  <si>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</si>
  <si>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</si>
  <si>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</si>
  <si>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</si>
  <si>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</si>
  <si>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</si>
  <si>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</si>
  <si>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</si>
  <si>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</si>
  <si>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</si>
  <si>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</si>
  <si>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</si>
  <si>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</si>
  <si>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</si>
  <si>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</si>
  <si>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</si>
  <si>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</si>
  <si>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</si>
  <si>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</si>
  <si>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</si>
  <si>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</si>
  <si>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</si>
  <si>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</si>
  <si>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</si>
  <si>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</si>
  <si>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</si>
  <si>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</si>
  <si>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</si>
  <si>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</si>
  <si>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</si>
  <si>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</si>
  <si>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</si>
  <si>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</si>
  <si>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</si>
  <si>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</si>
  <si>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</si>
  <si>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</si>
  <si>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</si>
  <si>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</si>
  <si>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</si>
  <si>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</si>
  <si>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</si>
  <si>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</si>
  <si>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</si>
  <si>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</si>
  <si>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</si>
  <si>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</si>
  <si>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</si>
  <si>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</si>
  <si>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</si>
  <si>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</si>
  <si>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</si>
  <si>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</si>
  <si>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</si>
  <si>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</si>
  <si>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</si>
  <si>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</si>
  <si>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</si>
  <si>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</si>
  <si>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</si>
  <si>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</si>
  <si>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</si>
  <si>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</si>
  <si>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</si>
  <si>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</si>
  <si>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</si>
  <si>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</si>
  <si>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</si>
  <si>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</si>
  <si>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</si>
  <si>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</si>
  <si>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</si>
  <si>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</si>
  <si>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</si>
  <si>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</si>
  <si>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</si>
  <si>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</si>
  <si>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</si>
  <si>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</si>
  <si>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</si>
  <si>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</si>
  <si>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</si>
  <si>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</si>
  <si>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</si>
  <si>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</si>
  <si>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</si>
  <si>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</si>
  <si>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</si>
  <si>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</si>
  <si>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</si>
  <si>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</si>
  <si>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</si>
  <si>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</si>
  <si>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</si>
  <si>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</si>
  <si>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</si>
  <si>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</si>
  <si>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</si>
  <si>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</si>
  <si>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</si>
  <si>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</si>
  <si>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</si>
  <si>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</si>
  <si>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</si>
  <si>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</si>
  <si>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</si>
  <si>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</si>
  <si>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</si>
  <si>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</si>
  <si>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</si>
  <si>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</si>
  <si>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</si>
  <si>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</si>
  <si>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</si>
  <si>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</si>
  <si>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</si>
  <si>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</si>
  <si>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</si>
  <si>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</si>
  <si>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</si>
  <si>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</si>
  <si>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</si>
  <si>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</si>
  <si>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</si>
  <si>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</si>
  <si>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</si>
  <si>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</si>
  <si>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</si>
  <si>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</si>
  <si>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</si>
  <si>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</si>
  <si>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</si>
  <si>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</si>
  <si>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</si>
  <si>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</si>
  <si>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</si>
  <si>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</si>
  <si>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</si>
  <si>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</si>
  <si>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</si>
  <si>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</si>
  <si>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</si>
  <si>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</si>
  <si>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</si>
  <si>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</si>
  <si>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</si>
  <si>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</si>
  <si>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</si>
  <si>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</si>
  <si>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</si>
  <si>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</si>
  <si>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</si>
  <si>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</si>
  <si>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</si>
  <si>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</si>
  <si>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</si>
  <si>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</si>
  <si>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</si>
  <si>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</si>
  <si>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</si>
  <si>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</si>
  <si>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</si>
  <si>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</si>
  <si>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</si>
  <si>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</si>
  <si>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</si>
  <si>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</si>
  <si>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</si>
  <si>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</si>
  <si>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</si>
  <si>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</si>
  <si>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</si>
  <si>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</si>
  <si>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</si>
  <si>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</si>
  <si>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</si>
  <si>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</si>
  <si>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</si>
  <si>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</si>
  <si>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</si>
  <si>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</si>
  <si>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</si>
  <si>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</si>
  <si>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</si>
  <si>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</si>
  <si>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</si>
  <si>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</si>
  <si>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</si>
  <si>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</si>
  <si>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</si>
  <si>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</si>
  <si>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</si>
  <si>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</si>
  <si>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</si>
  <si>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</si>
  <si>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</si>
  <si>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</si>
  <si>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</si>
  <si>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</si>
  <si>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</si>
  <si>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</si>
  <si>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</si>
  <si>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</si>
  <si>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</si>
  <si>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</si>
  <si>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</si>
  <si>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</si>
  <si>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</si>
  <si>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</si>
  <si>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</si>
  <si>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</si>
  <si>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</si>
  <si>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</si>
  <si>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</si>
  <si>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</si>
  <si>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</si>
  <si>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</si>
  <si>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</si>
  <si>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</si>
  <si>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</si>
  <si>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</si>
  <si>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</si>
  <si>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</si>
  <si>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</si>
  <si>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</si>
  <si>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</si>
  <si>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</si>
  <si>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</si>
  <si>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</si>
  <si>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</si>
  <si>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</si>
  <si>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</si>
  <si>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</si>
  <si>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</si>
  <si>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</si>
  <si>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</si>
  <si>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</si>
  <si>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</si>
  <si>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</si>
  <si>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</si>
  <si>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</si>
  <si>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</si>
  <si>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</si>
  <si>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</si>
  <si>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</si>
  <si>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</si>
  <si>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</si>
  <si>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</si>
  <si>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</si>
  <si>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</si>
  <si>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</si>
  <si>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</si>
  <si>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</si>
  <si>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</si>
  <si>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</si>
  <si>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</si>
  <si>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</si>
  <si>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</si>
  <si>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</si>
  <si>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</si>
  <si>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</si>
  <si>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</si>
  <si>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</si>
  <si>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</si>
  <si>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</si>
  <si>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</si>
  <si>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</si>
  <si>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</si>
  <si>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</si>
  <si>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</si>
  <si>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</si>
  <si>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</si>
  <si>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</si>
  <si>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</si>
  <si>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</si>
  <si>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</si>
  <si>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</si>
  <si>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</si>
  <si>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</si>
  <si>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</si>
  <si>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</si>
  <si>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</si>
  <si>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</si>
  <si>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</si>
  <si>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</si>
  <si>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</si>
  <si>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</si>
  <si>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</si>
  <si>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</si>
  <si>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</si>
  <si>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</si>
  <si>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</si>
  <si>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</si>
  <si>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</si>
  <si>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</si>
  <si>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</si>
  <si>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</si>
  <si>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</si>
  <si>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</si>
  <si>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</si>
  <si>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</si>
  <si>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</si>
  <si>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</si>
  <si>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</si>
  <si>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</si>
  <si>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</si>
  <si>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</si>
  <si>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</si>
  <si>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</si>
  <si>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</si>
  <si>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</si>
  <si>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</si>
  <si>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</si>
  <si>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</si>
  <si>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</si>
  <si>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</si>
  <si>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</si>
  <si>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</si>
  <si>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</si>
  <si>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</si>
  <si>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</si>
  <si>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</si>
  <si>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</si>
  <si>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</si>
  <si>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</si>
  <si>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</si>
  <si>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</si>
  <si>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</si>
  <si>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</si>
  <si>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</si>
  <si>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</si>
  <si>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</si>
  <si>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</si>
  <si>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</si>
  <si>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</si>
  <si>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</si>
  <si>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</si>
  <si>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</si>
  <si>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</si>
  <si>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</si>
  <si>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</si>
  <si>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</si>
  <si>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</si>
  <si>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</si>
  <si>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</si>
  <si>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</si>
  <si>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</si>
  <si>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</si>
  <si>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</si>
  <si>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</si>
  <si>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</si>
  <si>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</si>
  <si>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</si>
  <si>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</si>
  <si>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</si>
  <si>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</si>
  <si>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</si>
  <si>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</si>
  <si>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</si>
  <si>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</si>
  <si>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</si>
  <si>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</si>
  <si>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</si>
  <si>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</si>
  <si>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</si>
  <si>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</si>
  <si>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</si>
  <si>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</si>
  <si>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</si>
  <si>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</si>
  <si>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</si>
  <si>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</si>
  <si>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</si>
  <si>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</si>
  <si>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</si>
  <si>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</si>
  <si>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</si>
  <si>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</si>
  <si>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</si>
  <si>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</si>
  <si>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</si>
  <si>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</si>
  <si>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</si>
  <si>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</si>
  <si>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</si>
  <si>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</si>
  <si>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</si>
  <si>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</si>
  <si>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</si>
  <si>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</si>
  <si>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</si>
  <si>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</si>
  <si>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</si>
  <si>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</si>
  <si>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</si>
  <si>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</si>
  <si>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</si>
  <si>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</si>
  <si>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</si>
  <si>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</si>
  <si>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</si>
  <si>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</si>
  <si>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</si>
  <si>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</si>
  <si>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</si>
  <si>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</si>
  <si>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</si>
  <si>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</si>
  <si>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</si>
  <si>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</si>
  <si>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</si>
  <si>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</si>
  <si>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</si>
  <si>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</si>
  <si>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</si>
  <si>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</si>
  <si>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</si>
  <si>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</si>
  <si>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</si>
  <si>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</si>
  <si>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</si>
  <si>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</si>
  <si>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</si>
  <si>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</si>
  <si>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</si>
  <si>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</si>
  <si>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</si>
  <si>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</si>
  <si>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</si>
  <si>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</si>
  <si>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</si>
  <si>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</si>
  <si>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</si>
  <si>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</si>
  <si>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</si>
  <si>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</si>
  <si>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</si>
  <si>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</si>
  <si>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</si>
  <si>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</si>
  <si>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</si>
  <si>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</si>
  <si>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</si>
  <si>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</si>
  <si>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</si>
  <si>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</si>
  <si>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</si>
  <si>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</si>
  <si>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</si>
  <si>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</si>
  <si>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</si>
  <si>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</si>
  <si>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</si>
  <si>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</si>
  <si>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</si>
  <si>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</si>
  <si>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</si>
  <si>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</si>
  <si>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</si>
  <si>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</si>
  <si>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</si>
  <si>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</si>
  <si>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</si>
  <si>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</si>
  <si>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</si>
  <si>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</si>
  <si>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</si>
  <si>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</si>
  <si>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</si>
  <si>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</si>
  <si>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</si>
  <si>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</si>
  <si>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</si>
  <si>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</si>
  <si>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</si>
  <si>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</si>
  <si>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</si>
  <si>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</si>
  <si>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</si>
  <si>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</si>
  <si>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</si>
  <si>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</si>
  <si>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</si>
  <si>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</si>
  <si>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</si>
  <si>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</si>
  <si>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</si>
  <si>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</si>
  <si>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</si>
  <si>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</si>
  <si>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</si>
  <si>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</si>
  <si>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</si>
  <si>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</si>
  <si>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</si>
  <si>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</si>
  <si>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</si>
  <si>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</si>
  <si>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</si>
  <si>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</si>
  <si>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</si>
  <si>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</si>
  <si>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</si>
  <si>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</si>
  <si>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</si>
  <si>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</si>
  <si>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</si>
  <si>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</si>
  <si>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</si>
  <si>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</si>
  <si>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</si>
  <si>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</si>
  <si>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</si>
  <si>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</si>
  <si>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</si>
  <si>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</si>
  <si>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</si>
  <si>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</si>
  <si>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</si>
  <si>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</si>
  <si>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</si>
  <si>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</si>
  <si>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</si>
  <si>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</si>
  <si>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</si>
  <si>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</si>
  <si>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</si>
  <si>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</si>
  <si>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</si>
  <si>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</si>
  <si>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</si>
  <si>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</si>
  <si>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</si>
  <si>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</si>
  <si>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</si>
  <si>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</si>
  <si>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</si>
  <si>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</si>
  <si>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</si>
  <si>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</si>
  <si>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</si>
  <si>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</si>
  <si>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</si>
  <si>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</si>
  <si>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</si>
  <si>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</si>
  <si>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</si>
  <si>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</si>
  <si>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</si>
  <si>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</si>
  <si>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</si>
  <si>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</si>
  <si>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</si>
  <si>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</si>
  <si>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</si>
  <si>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</si>
  <si>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</si>
  <si>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</si>
  <si>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</si>
  <si>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</si>
  <si>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</si>
  <si>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</si>
  <si>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</si>
  <si>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</si>
  <si>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</si>
  <si>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</si>
  <si>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</si>
  <si>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</si>
  <si>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</si>
  <si>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</si>
  <si>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</si>
  <si>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</si>
  <si>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</si>
  <si>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</si>
  <si>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</si>
  <si>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</si>
  <si>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</si>
  <si>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</si>
  <si>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</si>
  <si>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</si>
  <si>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</si>
  <si>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</si>
  <si>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</si>
  <si>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</si>
  <si>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</si>
  <si>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</si>
  <si>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</si>
  <si>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</si>
  <si>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</si>
  <si>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</si>
  <si>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</si>
  <si>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</si>
  <si>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</si>
  <si>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</si>
  <si>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</si>
  <si>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</si>
  <si>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</si>
  <si>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</si>
  <si>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</si>
  <si>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</si>
  <si>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</si>
  <si>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</si>
  <si>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</si>
  <si>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</si>
  <si>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</si>
  <si>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</si>
  <si>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</si>
  <si>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</si>
  <si>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</si>
  <si>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</si>
  <si>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</si>
  <si>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</si>
  <si>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</si>
  <si>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</si>
  <si>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</si>
  <si>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</si>
  <si>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</si>
  <si>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</si>
  <si>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</si>
  <si>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</si>
  <si>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</si>
  <si>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</si>
  <si>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</si>
  <si>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</si>
  <si>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</si>
  <si>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</si>
  <si>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</si>
  <si>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</si>
  <si>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</si>
  <si>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</si>
  <si>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</si>
  <si>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</si>
  <si>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</si>
  <si>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</si>
  <si>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</si>
  <si>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</si>
  <si>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</si>
  <si>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</si>
  <si>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</si>
  <si>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</si>
  <si>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</si>
  <si>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</si>
  <si>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</si>
  <si>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</si>
  <si>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</si>
  <si>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</si>
  <si>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</si>
  <si>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</si>
  <si>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</si>
  <si>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</si>
  <si>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</si>
  <si>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</si>
  <si>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</si>
  <si>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</si>
  <si>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</si>
  <si>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</si>
  <si>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</si>
  <si>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</si>
  <si>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</si>
  <si>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</si>
  <si>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</si>
  <si>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</si>
  <si>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</si>
  <si>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</si>
  <si>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</si>
  <si>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</si>
  <si>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</si>
  <si>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</si>
  <si>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</si>
  <si>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</si>
  <si>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</si>
  <si>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</si>
  <si>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</si>
  <si>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</si>
  <si>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</si>
  <si>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</si>
  <si>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</si>
  <si>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</si>
  <si>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</si>
  <si>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</si>
  <si>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</si>
  <si>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</si>
  <si>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</si>
  <si>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</si>
  <si>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</si>
  <si>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</si>
  <si>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</si>
  <si>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</si>
  <si>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</si>
  <si>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</si>
  <si>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</si>
  <si>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</si>
  <si>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</si>
  <si>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</si>
  <si>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</si>
  <si>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</si>
  <si>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</si>
  <si>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</si>
  <si>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</si>
  <si>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</si>
  <si>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</si>
  <si>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</si>
  <si>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</si>
  <si>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</si>
  <si>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</si>
  <si>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</si>
  <si>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</si>
  <si>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</si>
  <si>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</si>
  <si>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</si>
  <si>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</si>
  <si>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</si>
  <si>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</si>
  <si>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</si>
  <si>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</si>
  <si>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</si>
  <si>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</si>
  <si>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</si>
  <si>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</si>
  <si>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</si>
  <si>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</si>
  <si>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</si>
  <si>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</si>
  <si>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</si>
  <si>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</si>
  <si>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</si>
  <si>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</si>
  <si>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</si>
  <si>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</si>
  <si>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</si>
  <si>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</si>
  <si>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</si>
  <si>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</si>
  <si>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</si>
  <si>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</si>
  <si>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</si>
  <si>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</si>
  <si>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</si>
  <si>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</si>
  <si>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</si>
  <si>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</si>
  <si>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</si>
  <si>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</si>
  <si>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</si>
  <si>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</si>
  <si>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</si>
  <si>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</si>
  <si>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</si>
  <si>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</si>
  <si>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</si>
  <si>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</si>
  <si>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</si>
  <si>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</si>
  <si>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</si>
  <si>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</si>
  <si>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</si>
  <si>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</si>
  <si>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</si>
  <si>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</si>
  <si>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</si>
  <si>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</si>
  <si>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</si>
  <si>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</si>
  <si>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</si>
  <si>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</si>
  <si>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</si>
  <si>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</si>
  <si>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</si>
  <si>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</si>
  <si>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</si>
  <si>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</si>
  <si>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</si>
  <si>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</si>
  <si>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</si>
  <si>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</si>
  <si>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</si>
  <si>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</si>
  <si>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</si>
  <si>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</si>
  <si>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</si>
  <si>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</si>
  <si>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</si>
  <si>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</si>
  <si>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</si>
  <si>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</si>
  <si>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</si>
  <si>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</si>
  <si>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</si>
  <si>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</si>
  <si>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</si>
  <si>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</si>
  <si>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</si>
  <si>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</si>
  <si>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</si>
  <si>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</si>
  <si>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</si>
  <si>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</si>
  <si>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</si>
  <si>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</si>
  <si>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</si>
  <si>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</si>
  <si>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</si>
  <si>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</si>
  <si>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</si>
  <si>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</si>
  <si>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</si>
  <si>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</si>
  <si>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</si>
  <si>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</si>
  <si>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</si>
  <si>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</si>
  <si>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</si>
  <si>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</si>
  <si>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</si>
  <si>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</si>
  <si>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</si>
  <si>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</si>
  <si>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</si>
  <si>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</si>
  <si>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</si>
  <si>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</si>
  <si>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</si>
  <si>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</si>
  <si>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</si>
  <si>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</si>
  <si>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</si>
  <si>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</si>
  <si>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</si>
  <si>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</si>
  <si>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</si>
  <si>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</si>
  <si>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</si>
  <si>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</si>
  <si>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</si>
  <si>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</si>
  <si>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</si>
  <si>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</si>
  <si>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</si>
  <si>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</si>
  <si>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</si>
  <si>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</si>
  <si>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</si>
  <si>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</si>
  <si>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</si>
  <si>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</si>
  <si>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</si>
  <si>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</si>
  <si>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</si>
  <si>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</si>
  <si>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</si>
  <si>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</si>
  <si>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</si>
  <si>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</si>
  <si>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</si>
  <si>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</si>
  <si>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</si>
  <si>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</si>
  <si>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</si>
  <si>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</si>
  <si>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</si>
  <si>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</si>
  <si>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</si>
  <si>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</si>
  <si>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</si>
  <si>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</si>
  <si>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</si>
  <si>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</si>
  <si>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</si>
  <si>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</si>
  <si>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</si>
  <si>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</si>
  <si>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</si>
  <si>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</si>
  <si>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</si>
  <si>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</si>
  <si>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</si>
  <si>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</si>
  <si>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</si>
  <si>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</si>
  <si>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</si>
  <si>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</si>
  <si>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</si>
  <si>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</si>
  <si>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</si>
  <si>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</si>
  <si>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</si>
  <si>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</si>
  <si>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</si>
  <si>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</si>
  <si>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</si>
  <si>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</si>
  <si>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</si>
  <si>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</si>
  <si>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</si>
  <si>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</si>
  <si>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</si>
  <si>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</si>
  <si>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</si>
  <si>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</si>
  <si>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</si>
  <si>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</si>
  <si>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</si>
  <si>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</si>
  <si>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</si>
  <si>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</si>
  <si>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</si>
  <si>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</si>
  <si>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</si>
  <si>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</si>
  <si>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</si>
  <si>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</si>
  <si>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</si>
  <si>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</si>
  <si>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</si>
  <si>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</si>
  <si>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</si>
  <si>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</si>
  <si>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</si>
  <si>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</si>
  <si>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</si>
  <si>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</si>
  <si>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</si>
  <si>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</si>
  <si>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</si>
  <si>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</si>
  <si>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</si>
  <si>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</si>
  <si>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</si>
  <si>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</si>
  <si>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</si>
  <si>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</si>
  <si>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</si>
  <si>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</si>
  <si>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</si>
  <si>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</si>
  <si>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</si>
  <si>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</si>
  <si>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</si>
  <si>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</si>
  <si>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</si>
  <si>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</si>
  <si>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</si>
  <si>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</si>
  <si>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</si>
  <si>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</si>
  <si>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</si>
  <si>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</si>
  <si>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</si>
  <si>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</si>
  <si>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</si>
  <si>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</si>
  <si>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</si>
  <si>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</si>
  <si>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</si>
  <si>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</si>
  <si>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</si>
  <si>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</si>
  <si>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</si>
  <si>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</si>
  <si>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</si>
  <si>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</si>
  <si>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</si>
  <si>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</si>
  <si>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</si>
  <si>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</si>
  <si>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</si>
  <si>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</si>
  <si>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</si>
  <si>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</si>
  <si>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</si>
  <si>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</si>
  <si>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</si>
  <si>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</si>
  <si>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</si>
  <si>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</si>
  <si>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</si>
  <si>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</si>
  <si>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</si>
  <si>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</si>
  <si>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</si>
  <si>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</si>
  <si>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</si>
  <si>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</si>
  <si>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</si>
  <si>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</si>
  <si>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</si>
  <si>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</si>
  <si>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</si>
  <si>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</si>
  <si>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</si>
  <si>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</si>
  <si>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</si>
  <si>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</si>
  <si>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</si>
  <si>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</si>
  <si>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</si>
  <si>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</si>
  <si>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</si>
  <si>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</si>
  <si>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</si>
  <si>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</si>
  <si>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</si>
  <si>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</si>
  <si>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</si>
  <si>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</si>
  <si>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</si>
  <si>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</si>
  <si>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</si>
  <si>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</si>
  <si>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</si>
  <si>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</si>
  <si>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</si>
  <si>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</si>
  <si>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</si>
  <si>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</si>
  <si>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</si>
  <si>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</si>
  <si>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</si>
  <si>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</si>
  <si>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</si>
  <si>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</si>
  <si>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</si>
  <si>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</si>
  <si>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</si>
  <si>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</si>
  <si>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</si>
  <si>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</si>
  <si>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</si>
  <si>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</si>
  <si>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</si>
  <si>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</si>
  <si>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</si>
  <si>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</si>
  <si>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</si>
  <si>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</si>
  <si>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</si>
  <si>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</si>
  <si>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</si>
  <si>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</si>
  <si>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</si>
  <si>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</si>
  <si>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</si>
  <si>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</si>
  <si>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</si>
  <si>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</si>
  <si>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</si>
  <si>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</si>
  <si>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</si>
  <si>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</si>
  <si>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</si>
  <si>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</si>
  <si>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</si>
  <si>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</si>
  <si>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</si>
  <si>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</si>
  <si>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</si>
  <si>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</si>
  <si>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</si>
  <si>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</si>
  <si>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</si>
  <si>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</si>
  <si>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</si>
  <si>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</si>
  <si>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</si>
  <si>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</si>
  <si>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</si>
  <si>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</si>
  <si>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</si>
  <si>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</si>
  <si>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</si>
  <si>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</si>
  <si>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</si>
  <si>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</si>
  <si>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</si>
  <si>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</si>
  <si>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</si>
  <si>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</si>
  <si>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</si>
  <si>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</si>
  <si>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</si>
  <si>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</si>
  <si>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</si>
  <si>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</si>
  <si>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</si>
  <si>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</si>
  <si>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</si>
  <si>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</si>
  <si>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</si>
  <si>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</si>
  <si>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</si>
  <si>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</si>
  <si>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</si>
  <si>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</si>
  <si>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</si>
  <si>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</si>
  <si>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</si>
  <si>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</si>
  <si>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</si>
  <si>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</si>
  <si>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</si>
  <si>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</si>
  <si>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</si>
  <si>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</si>
  <si>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</si>
  <si>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</si>
  <si>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</si>
  <si>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</si>
  <si>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</si>
  <si>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</si>
  <si>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</si>
  <si>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</si>
  <si>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</si>
  <si>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</si>
  <si>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</si>
  <si>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</si>
  <si>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</si>
  <si>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</si>
  <si>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</si>
  <si>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</si>
  <si>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</si>
  <si>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</si>
  <si>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</si>
  <si>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</si>
  <si>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</si>
  <si>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</si>
  <si>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</si>
  <si>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</si>
  <si>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</si>
  <si>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</si>
  <si>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</si>
  <si>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</si>
  <si>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</si>
  <si>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</si>
  <si>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</si>
  <si>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</si>
  <si>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</si>
  <si>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</si>
  <si>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</si>
  <si>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</si>
  <si>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</si>
  <si>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</si>
  <si>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</si>
  <si>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</si>
  <si>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</si>
  <si>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</si>
  <si>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</si>
  <si>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</si>
  <si>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</si>
  <si>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</si>
  <si>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</si>
  <si>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</si>
  <si>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</si>
  <si>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</si>
  <si>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</si>
  <si>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</si>
  <si>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</si>
  <si>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</si>
  <si>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</si>
  <si>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</si>
  <si>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</si>
  <si>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</si>
  <si>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</si>
  <si>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</si>
  <si>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</si>
  <si>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</si>
  <si>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</si>
  <si>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</si>
  <si>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</si>
  <si>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</si>
  <si>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</si>
  <si>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</si>
  <si>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</si>
  <si>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</si>
  <si>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</si>
  <si>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</si>
  <si>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</si>
  <si>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</si>
  <si>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</si>
  <si>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</si>
  <si>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</si>
  <si>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</si>
  <si>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</si>
  <si>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</si>
  <si>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</si>
  <si>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</si>
  <si>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</si>
  <si>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</si>
  <si>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</si>
  <si>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</si>
  <si>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</si>
  <si>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</si>
  <si>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</si>
  <si>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</si>
  <si>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</si>
  <si>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</si>
  <si>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</si>
  <si>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</si>
  <si>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</si>
  <si>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</si>
  <si>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</si>
  <si>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</si>
  <si>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</si>
  <si>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</si>
  <si>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</si>
  <si>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</si>
  <si>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</si>
  <si>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</si>
  <si>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</si>
  <si>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</si>
  <si>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</si>
  <si>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</si>
  <si>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</si>
  <si>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</si>
  <si>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</si>
  <si>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</si>
  <si>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</si>
  <si>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</si>
  <si>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</si>
  <si>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</si>
  <si>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</si>
  <si>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</si>
  <si>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</si>
  <si>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</si>
  <si>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</si>
  <si>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</si>
  <si>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</si>
  <si>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</si>
  <si>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</si>
  <si>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</si>
  <si>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</si>
  <si>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</si>
  <si>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</si>
  <si>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</si>
  <si>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</si>
  <si>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</si>
  <si>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</si>
  <si>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</si>
  <si>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</si>
  <si>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</si>
  <si>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</si>
  <si>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</si>
  <si>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</si>
  <si>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</si>
  <si>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</si>
  <si>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</si>
  <si>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</si>
  <si>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</si>
  <si>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</si>
  <si>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</si>
  <si>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</si>
  <si>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</si>
  <si>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</si>
  <si>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</si>
  <si>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</si>
  <si>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</si>
  <si>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</si>
  <si>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</si>
  <si>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</si>
  <si>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</si>
  <si>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</si>
  <si>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</si>
  <si>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</si>
  <si>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</si>
  <si>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</si>
  <si>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</si>
  <si>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</si>
  <si>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</si>
  <si>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</si>
  <si>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</si>
  <si>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</si>
  <si>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</si>
  <si>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</si>
  <si>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</si>
  <si>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</si>
  <si>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</si>
  <si>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</si>
  <si>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</si>
  <si>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</si>
  <si>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</si>
  <si>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</si>
  <si>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</si>
  <si>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</si>
  <si>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</si>
  <si>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</si>
  <si>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</si>
  <si>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</si>
  <si>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</si>
  <si>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</si>
  <si>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</si>
  <si>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</si>
  <si>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</si>
  <si>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</si>
  <si>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</si>
  <si>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</si>
  <si>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</si>
  <si>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</si>
  <si>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</si>
  <si>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</si>
  <si>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</si>
  <si>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</si>
  <si>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</si>
  <si>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</si>
  <si>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</si>
  <si>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</si>
  <si>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</si>
  <si>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</si>
  <si>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</si>
  <si>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</si>
  <si>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</si>
  <si>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</si>
  <si>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</si>
  <si>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</si>
  <si>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</si>
  <si>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</si>
  <si>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</si>
  <si>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</si>
  <si>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</si>
  <si>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</si>
  <si>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</si>
  <si>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</si>
  <si>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</si>
  <si>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</si>
  <si>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</si>
  <si>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</si>
  <si>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</si>
  <si>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</si>
  <si>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</si>
  <si>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</si>
  <si>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</si>
  <si>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</si>
  <si>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</si>
  <si>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</si>
  <si>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</si>
  <si>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</si>
  <si>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</si>
  <si>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</si>
  <si>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</si>
  <si>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</si>
  <si>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</si>
  <si>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</si>
  <si>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</si>
  <si>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</si>
  <si>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</si>
  <si>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</si>
  <si>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</si>
  <si>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</si>
  <si>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</si>
  <si>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</si>
  <si>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</si>
  <si>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</si>
  <si>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</si>
  <si>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</si>
  <si>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</si>
  <si>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</si>
  <si>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</si>
  <si>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</si>
  <si>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</si>
  <si>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</si>
  <si>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</si>
  <si>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</si>
  <si>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</si>
  <si>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</si>
  <si>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</si>
  <si>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</si>
  <si>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</si>
  <si>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</si>
  <si>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</si>
  <si>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</si>
  <si>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</si>
  <si>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</si>
  <si>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</si>
  <si>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</si>
  <si>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</si>
  <si>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</si>
  <si>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</si>
  <si>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</si>
  <si>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</si>
  <si>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</si>
  <si>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</si>
  <si>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</si>
  <si>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</si>
  <si>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</si>
  <si>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</si>
  <si>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</si>
  <si>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</si>
  <si>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</si>
  <si>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</si>
  <si>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</si>
  <si>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</si>
  <si>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</si>
  <si>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</si>
  <si>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</si>
  <si>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</si>
  <si>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</si>
  <si>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</si>
  <si>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</si>
  <si>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</si>
  <si>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</si>
  <si>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</si>
  <si>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</si>
  <si>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</si>
  <si>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</si>
  <si>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</si>
  <si>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</si>
  <si>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</si>
  <si>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</si>
  <si>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</si>
  <si>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</si>
  <si>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</si>
  <si>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</si>
  <si>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</si>
  <si>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</si>
  <si>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</si>
  <si>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</si>
  <si>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</si>
  <si>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</si>
  <si>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</si>
  <si>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</si>
  <si>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</si>
  <si>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</si>
  <si>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</si>
  <si>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</si>
  <si>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</si>
  <si>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</si>
  <si>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</si>
  <si>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</si>
  <si>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</si>
  <si>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</si>
  <si>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</si>
  <si>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</si>
  <si>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</si>
  <si>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</si>
  <si>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</si>
  <si>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</si>
  <si>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</si>
  <si>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</si>
  <si>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</si>
  <si>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</si>
  <si>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</si>
  <si>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</si>
  <si>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</si>
  <si>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</si>
  <si>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</si>
  <si>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</si>
  <si>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</si>
  <si>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</si>
  <si>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</si>
  <si>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</si>
  <si>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</si>
  <si>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</si>
  <si>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</si>
  <si>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</si>
  <si>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</si>
  <si>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</si>
  <si>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</si>
  <si>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</si>
  <si>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</si>
  <si>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</si>
  <si>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</si>
  <si>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</si>
  <si>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</si>
  <si>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</si>
  <si>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</si>
  <si>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</si>
  <si>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</si>
  <si>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</si>
  <si>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</si>
  <si>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</si>
  <si>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</si>
  <si>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</si>
  <si>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</si>
  <si>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</si>
  <si>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</si>
  <si>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</si>
  <si>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</si>
  <si>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</si>
  <si>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</si>
  <si>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</si>
  <si>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</si>
  <si>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</si>
  <si>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</si>
  <si>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</si>
  <si>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</si>
  <si>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</si>
  <si>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</si>
  <si>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</si>
  <si>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</si>
  <si>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</si>
  <si>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</si>
  <si>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</si>
  <si>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</si>
  <si>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</si>
  <si>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</si>
  <si>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</si>
  <si>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</si>
  <si>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</si>
  <si>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</si>
  <si>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</si>
  <si>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</si>
  <si>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</si>
  <si>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</si>
  <si>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</si>
  <si>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</si>
  <si>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</si>
  <si>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</si>
  <si>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</si>
  <si>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</si>
  <si>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</si>
  <si>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</si>
  <si>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</si>
  <si>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</si>
  <si>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</si>
  <si>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</si>
  <si>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</si>
  <si>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</si>
  <si>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</si>
  <si>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</si>
  <si>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</si>
  <si>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</si>
  <si>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</si>
  <si>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</si>
  <si>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</si>
  <si>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</si>
  <si>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</si>
  <si>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</si>
  <si>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</si>
  <si>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</si>
  <si>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</si>
  <si>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</si>
  <si>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</si>
  <si>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</si>
  <si>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</si>
  <si>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</si>
  <si>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</si>
  <si>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</si>
  <si>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</si>
  <si>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</si>
  <si>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</si>
  <si>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</si>
  <si>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</si>
  <si>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</si>
  <si>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</si>
  <si>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</si>
  <si>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</si>
  <si>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</si>
  <si>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</si>
  <si>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</si>
  <si>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</si>
  <si>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</si>
  <si>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</si>
  <si>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</si>
  <si>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</si>
  <si>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</si>
  <si>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</si>
  <si>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</si>
  <si>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</si>
  <si>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</si>
  <si>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</si>
  <si>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</si>
  <si>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</si>
  <si>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</si>
  <si>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</si>
  <si>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</si>
  <si>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</si>
  <si>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</si>
  <si>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</si>
  <si>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</si>
  <si>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</si>
  <si>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</si>
  <si>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</si>
  <si>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</si>
  <si>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</si>
  <si>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</si>
  <si>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</si>
  <si>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</si>
  <si>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</si>
  <si>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</si>
  <si>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</si>
  <si>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</si>
  <si>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</si>
  <si>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</si>
  <si>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</si>
  <si>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</si>
  <si>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</si>
  <si>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</si>
  <si>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</si>
  <si>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</si>
  <si>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</si>
  <si>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</si>
  <si>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</si>
  <si>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</si>
  <si>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</si>
  <si>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</si>
  <si>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</si>
  <si>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</si>
  <si>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</si>
  <si>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</si>
  <si>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</si>
  <si>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</si>
  <si>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</si>
  <si>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</si>
  <si>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</si>
  <si>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</si>
  <si>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</si>
  <si>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</si>
  <si>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</si>
  <si>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</si>
  <si>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</si>
  <si>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</si>
  <si>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</si>
  <si>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</si>
  <si>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</si>
  <si>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</si>
  <si>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</si>
  <si>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</si>
  <si>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</si>
  <si>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</si>
  <si>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</si>
  <si>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</si>
  <si>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</si>
  <si>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</si>
  <si>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</si>
  <si>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</si>
  <si>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</si>
  <si>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</si>
  <si>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</si>
  <si>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</si>
  <si>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</si>
  <si>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</si>
  <si>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</si>
  <si>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</si>
  <si>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</si>
  <si>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</si>
  <si>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</si>
  <si>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</si>
  <si>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</si>
  <si>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</si>
  <si>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</si>
  <si>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</si>
  <si>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</si>
  <si>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</si>
  <si>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</si>
  <si>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</si>
  <si>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</si>
  <si>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</si>
  <si>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</si>
  <si>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</si>
  <si>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</si>
  <si>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</si>
  <si>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</si>
  <si>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</si>
  <si>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</si>
  <si>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</si>
  <si>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</si>
  <si>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</si>
  <si>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</si>
  <si>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</si>
  <si>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</si>
  <si>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</si>
  <si>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</si>
  <si>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</si>
  <si>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</si>
  <si>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</si>
  <si>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</si>
  <si>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</si>
  <si>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</si>
  <si>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</si>
  <si>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</si>
  <si>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</si>
  <si>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</si>
  <si>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</si>
  <si>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</si>
  <si>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</si>
  <si>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</si>
  <si>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</si>
  <si>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</si>
  <si>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</si>
  <si>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</si>
  <si>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</si>
  <si>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</si>
  <si>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</si>
  <si>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</si>
  <si>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</si>
  <si>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</si>
  <si>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</si>
  <si>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</si>
  <si>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</si>
  <si>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</si>
  <si>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</si>
  <si>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</si>
  <si>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</si>
  <si>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</si>
  <si>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</si>
  <si>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</si>
  <si>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</si>
  <si>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</si>
  <si>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</si>
  <si>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</si>
  <si>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</si>
  <si>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</si>
  <si>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</si>
  <si>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</si>
  <si>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</si>
  <si>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</si>
  <si>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</si>
  <si>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</si>
  <si>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</si>
  <si>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</si>
  <si>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</si>
  <si>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</si>
  <si>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</si>
  <si>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</si>
  <si>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</si>
  <si>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</si>
  <si>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</si>
  <si>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</si>
  <si>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</si>
  <si>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</si>
  <si>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</si>
  <si>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</si>
  <si>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</si>
  <si>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</si>
  <si>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</si>
  <si>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</si>
  <si>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</si>
  <si>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</si>
  <si>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</si>
  <si>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</si>
  <si>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</si>
  <si>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</si>
  <si>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</si>
  <si>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</si>
  <si>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</si>
  <si>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</si>
  <si>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</si>
  <si>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</si>
  <si>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</si>
  <si>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</si>
  <si>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</si>
  <si>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</si>
  <si>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</si>
  <si>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</si>
  <si>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</si>
  <si>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</si>
  <si>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</si>
  <si>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</si>
  <si>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</si>
  <si>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</si>
  <si>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</si>
  <si>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</si>
  <si>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</si>
  <si>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</si>
  <si>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</si>
  <si>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</si>
  <si>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</si>
  <si>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</si>
  <si>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</si>
  <si>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</si>
  <si>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</si>
  <si>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</si>
  <si>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</si>
  <si>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</si>
  <si>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</si>
  <si>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</si>
  <si>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</si>
  <si>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</si>
  <si>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</si>
  <si>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</si>
  <si>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</si>
  <si>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</si>
  <si>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</si>
  <si>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</si>
  <si>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</si>
  <si>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</si>
  <si>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</si>
  <si>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</si>
  <si>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</si>
  <si>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</si>
  <si>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</si>
  <si>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</si>
  <si>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</si>
  <si>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</si>
  <si>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</si>
  <si>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</si>
  <si>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</si>
  <si>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</si>
  <si>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</si>
  <si>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</si>
  <si>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</si>
  <si>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</si>
  <si>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</si>
  <si>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</si>
  <si>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</si>
  <si>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</si>
  <si>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</si>
  <si>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</si>
  <si>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</si>
  <si>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</si>
  <si>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</si>
  <si>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</si>
  <si>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</si>
  <si>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</si>
  <si>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</si>
  <si>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</si>
  <si>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</si>
  <si>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</si>
  <si>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</si>
  <si>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</si>
  <si>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</si>
  <si>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</si>
  <si>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</si>
  <si>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</si>
  <si>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</si>
  <si>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</si>
  <si>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</si>
  <si>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</si>
  <si>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</si>
  <si>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</si>
  <si>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</si>
  <si>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</si>
  <si>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</si>
  <si>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</si>
  <si>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</si>
  <si>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</si>
  <si>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</si>
  <si>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</si>
  <si>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</si>
  <si>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</si>
  <si>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</si>
  <si>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</si>
  <si>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</si>
  <si>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</si>
  <si>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</si>
  <si>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</si>
  <si>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</si>
  <si>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</si>
  <si>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</si>
  <si>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</si>
  <si>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</si>
  <si>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</si>
  <si>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</si>
  <si>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</si>
  <si>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</si>
  <si>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</si>
  <si>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</si>
  <si>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</si>
  <si>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</si>
  <si>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</si>
  <si>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</si>
  <si>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</si>
  <si>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</si>
  <si>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</si>
  <si>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</si>
  <si>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</si>
  <si>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</si>
  <si>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</si>
  <si>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</si>
  <si>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</si>
  <si>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</si>
  <si>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</si>
  <si>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</si>
  <si>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</si>
  <si>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</si>
  <si>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</si>
  <si>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</si>
  <si>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</si>
  <si>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</si>
  <si>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</si>
  <si>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</si>
  <si>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</si>
  <si>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</si>
  <si>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</si>
  <si>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</si>
  <si>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</si>
  <si>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</si>
  <si>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</si>
  <si>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</si>
  <si>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</si>
  <si>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</si>
  <si>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</si>
  <si>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</si>
  <si>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</si>
  <si>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</si>
  <si>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</si>
  <si>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</si>
  <si>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</si>
  <si>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</si>
  <si>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</si>
  <si>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</si>
  <si>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</si>
  <si>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</si>
  <si>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</si>
  <si>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</si>
  <si>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</si>
  <si>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</si>
  <si>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</si>
  <si>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</si>
  <si>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</si>
  <si>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</si>
  <si>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</si>
  <si>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</si>
  <si>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</si>
  <si>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</si>
  <si>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</si>
  <si>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</si>
  <si>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</si>
  <si>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</si>
  <si>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</si>
  <si>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</si>
  <si>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</si>
  <si>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</si>
  <si>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</si>
  <si>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</si>
  <si>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</si>
  <si>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</si>
  <si>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</si>
  <si>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</si>
  <si>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</si>
  <si>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</si>
  <si>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</si>
  <si>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</si>
  <si>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</si>
  <si>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</si>
  <si>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</si>
  <si>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</si>
  <si>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</si>
  <si>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</si>
  <si>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</si>
  <si>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</si>
  <si>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</si>
  <si>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</si>
  <si>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</si>
  <si>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</si>
  <si>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</si>
  <si>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</si>
  <si>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</si>
  <si>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</si>
  <si>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</si>
  <si>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</si>
  <si>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</si>
  <si>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</si>
  <si>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</si>
  <si>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</si>
  <si>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</si>
  <si>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</si>
  <si>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</si>
  <si>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</si>
  <si>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</si>
  <si>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</si>
  <si>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</si>
  <si>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</si>
  <si>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</si>
  <si>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</si>
  <si>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</si>
  <si>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</si>
  <si>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</si>
  <si>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</si>
  <si>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</si>
  <si>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</si>
  <si>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</si>
  <si>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</si>
  <si>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</si>
  <si>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</si>
  <si>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</si>
  <si>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</si>
  <si>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</si>
  <si>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</si>
  <si>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</si>
  <si>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</si>
  <si>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</si>
  <si>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</si>
  <si>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</si>
  <si>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</si>
  <si>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</si>
  <si>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</si>
  <si>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</si>
  <si>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</si>
  <si>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</si>
  <si>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</si>
  <si>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</si>
  <si>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</si>
  <si>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</si>
  <si>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</si>
  <si>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</si>
  <si>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</si>
  <si>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</si>
  <si>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</si>
  <si>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</si>
  <si>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</si>
  <si>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</si>
  <si>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</si>
  <si>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</si>
  <si>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</si>
  <si>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</si>
  <si>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</si>
  <si>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</si>
  <si>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</si>
  <si>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</si>
  <si>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</si>
  <si>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</si>
  <si>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</si>
  <si>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</si>
  <si>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</si>
  <si>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</si>
  <si>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</si>
  <si>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</si>
  <si>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</si>
  <si>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</si>
  <si>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</si>
  <si>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</si>
  <si>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</si>
  <si>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</si>
  <si>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</si>
  <si>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</si>
  <si>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</si>
  <si>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</si>
  <si>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</si>
  <si>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</si>
  <si>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</si>
  <si>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</si>
  <si>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</si>
  <si>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</si>
  <si>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</si>
  <si>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</si>
  <si>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</si>
  <si>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</si>
  <si>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</si>
  <si>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</si>
  <si>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</si>
  <si>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</si>
  <si>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</si>
  <si>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</si>
  <si>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</si>
  <si>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</si>
  <si>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</si>
  <si>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</si>
  <si>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</si>
  <si>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</si>
  <si>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</si>
  <si>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</si>
  <si>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</si>
  <si>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</si>
  <si>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</si>
  <si>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</si>
  <si>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</si>
  <si>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</si>
  <si>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</si>
  <si>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</si>
  <si>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</si>
  <si>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</si>
  <si>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</si>
  <si>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</si>
  <si>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</si>
  <si>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</si>
  <si>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</si>
  <si>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</si>
  <si>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</si>
  <si>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</si>
  <si>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</si>
  <si>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</si>
  <si>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</si>
  <si>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</si>
  <si>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</si>
  <si>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</si>
  <si>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</si>
  <si>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</si>
  <si>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</si>
  <si>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</si>
  <si>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</si>
  <si>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</si>
  <si>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</si>
  <si>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</si>
  <si>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</si>
  <si>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</si>
  <si>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</si>
  <si>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</si>
  <si>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</si>
  <si>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</si>
  <si>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</si>
  <si>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</si>
  <si>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</si>
  <si>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</si>
  <si>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</si>
  <si>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</si>
  <si>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</si>
  <si>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</si>
  <si>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</si>
  <si>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</si>
  <si>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</si>
  <si>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</si>
  <si>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</si>
  <si>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</si>
  <si>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</si>
  <si>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</si>
  <si>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</si>
  <si>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</si>
  <si>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</si>
  <si>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</si>
  <si>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</si>
  <si>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</si>
  <si>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</si>
  <si>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</si>
  <si>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</si>
  <si>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</si>
  <si>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</si>
  <si>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</si>
  <si>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</si>
  <si>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</si>
  <si>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</si>
  <si>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</si>
  <si>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</si>
  <si>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</si>
  <si>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</si>
  <si>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</si>
  <si>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</si>
  <si>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</si>
  <si>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</si>
  <si>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</si>
  <si>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</si>
  <si>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</si>
  <si>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</si>
  <si>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</si>
  <si>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</si>
  <si>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</si>
  <si>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</si>
  <si>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</si>
  <si>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</si>
  <si>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</si>
  <si>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</si>
  <si>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</si>
  <si>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</si>
  <si>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</si>
  <si>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</si>
  <si>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</si>
  <si>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</si>
  <si>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</si>
  <si>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</si>
  <si>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</si>
  <si>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</si>
  <si>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</si>
  <si>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</si>
  <si>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</si>
  <si>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</si>
  <si>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</si>
  <si>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</si>
  <si>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</si>
  <si>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</si>
  <si>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</si>
  <si>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</si>
  <si>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</si>
  <si>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</si>
  <si>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</si>
  <si>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</si>
  <si>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</si>
  <si>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</si>
  <si>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</si>
  <si>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</si>
  <si>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</si>
  <si>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</si>
  <si>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</si>
  <si>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</si>
  <si>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</si>
  <si>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</si>
  <si>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</si>
  <si>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</si>
  <si>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</si>
  <si>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</si>
  <si>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</si>
  <si>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</si>
  <si>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</si>
  <si>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</si>
  <si>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</si>
  <si>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</si>
  <si>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</si>
  <si>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</si>
  <si>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</si>
  <si>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</si>
  <si>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</si>
  <si>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</si>
  <si>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</si>
  <si>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</si>
  <si>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</si>
  <si>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</si>
  <si>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</si>
  <si>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</si>
  <si>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</si>
  <si>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</si>
  <si>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</si>
  <si>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</si>
  <si>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</si>
  <si>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</si>
  <si>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</si>
  <si>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</si>
  <si>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</si>
  <si>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</si>
  <si>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</si>
  <si>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</si>
  <si>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</si>
  <si>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</si>
  <si>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</si>
  <si>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</si>
  <si>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</si>
  <si>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</si>
  <si>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</si>
  <si>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</si>
  <si>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</si>
  <si>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</si>
  <si>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</si>
  <si>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</si>
  <si>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</si>
  <si>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</si>
  <si>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</si>
  <si>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</si>
  <si>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</si>
  <si>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</si>
  <si>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</si>
  <si>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</si>
  <si>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</si>
  <si>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</si>
  <si>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</si>
  <si>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</si>
  <si>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</si>
  <si>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</si>
  <si>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</si>
  <si>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</si>
  <si>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</si>
  <si>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</si>
  <si>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</si>
  <si>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</si>
  <si>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</si>
  <si>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</si>
  <si>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</si>
  <si>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</si>
  <si>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</si>
  <si>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</si>
  <si>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</si>
  <si>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</si>
  <si>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</si>
  <si>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</si>
  <si>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</si>
  <si>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</si>
  <si>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</si>
  <si>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</si>
  <si>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</si>
  <si>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</si>
  <si>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</si>
  <si>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</si>
  <si>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</si>
  <si>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</si>
  <si>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</si>
  <si>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</si>
  <si>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</si>
  <si>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</si>
  <si>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</si>
  <si>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</si>
  <si>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</si>
  <si>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</si>
  <si>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</si>
  <si>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</si>
  <si>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</si>
  <si>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</si>
  <si>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</si>
  <si>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</si>
  <si>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</si>
  <si>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</si>
  <si>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</si>
  <si>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</si>
  <si>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</si>
  <si>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</si>
  <si>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</si>
  <si>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</si>
  <si>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</si>
  <si>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</si>
  <si>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</si>
  <si>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</si>
  <si>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</si>
  <si>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</si>
  <si>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</si>
  <si>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</si>
  <si>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</si>
  <si>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</si>
  <si>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</si>
  <si>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</si>
  <si>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</si>
  <si>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</si>
  <si>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</si>
  <si>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</si>
  <si>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</si>
  <si>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</si>
  <si>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</si>
  <si>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</si>
  <si>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</si>
  <si>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</si>
  <si>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</si>
  <si>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</si>
  <si>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</si>
  <si>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</si>
  <si>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</si>
  <si>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</si>
  <si>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</si>
  <si>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</si>
  <si>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</si>
  <si>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</si>
  <si>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</si>
  <si>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</si>
  <si>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</si>
  <si>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</si>
  <si>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</si>
  <si>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</si>
  <si>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</si>
  <si>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</si>
  <si>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</si>
  <si>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</si>
  <si>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</si>
  <si>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</si>
  <si>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</si>
  <si>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</si>
  <si>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</si>
  <si>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</si>
  <si>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</si>
  <si>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</si>
  <si>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</si>
  <si>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</si>
  <si>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</si>
  <si>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</si>
  <si>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</si>
  <si>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</si>
  <si>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</si>
  <si>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</si>
  <si>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</si>
  <si>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</si>
  <si>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</si>
  <si>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</si>
  <si>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</si>
  <si>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</si>
  <si>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</si>
  <si>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</si>
  <si>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</si>
  <si>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</si>
  <si>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</si>
  <si>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</si>
  <si>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</si>
  <si>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</si>
  <si>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</si>
  <si>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</si>
  <si>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</si>
  <si>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</si>
  <si>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</si>
  <si>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</si>
  <si>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</si>
  <si>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</si>
  <si>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</si>
  <si>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</si>
  <si>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</si>
  <si>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</si>
  <si>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</si>
  <si>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</si>
  <si>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</si>
  <si>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</si>
  <si>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</si>
  <si>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</si>
  <si>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</si>
  <si>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</si>
  <si>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</si>
  <si>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</si>
  <si>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</si>
  <si>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</si>
  <si>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</si>
  <si>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</si>
  <si>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</si>
  <si>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</si>
  <si>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</si>
  <si>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</si>
  <si>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</si>
  <si>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</si>
  <si>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</si>
  <si>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</si>
  <si>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</si>
  <si>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</si>
  <si>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</si>
  <si>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</si>
  <si>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</si>
  <si>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</si>
  <si>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</si>
  <si>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</si>
  <si>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</si>
  <si>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</si>
  <si>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</si>
  <si>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</si>
  <si>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</si>
  <si>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</si>
  <si>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</si>
  <si>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</si>
  <si>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</si>
  <si>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</si>
  <si>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</si>
  <si>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</si>
  <si>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</si>
  <si>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</si>
  <si>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</si>
  <si>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</si>
  <si>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</si>
  <si>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</si>
  <si>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</si>
  <si>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</si>
  <si>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</si>
  <si>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</si>
  <si>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</si>
  <si>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</si>
  <si>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</si>
  <si>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</si>
  <si>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</si>
  <si>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</si>
  <si>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</si>
  <si>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</si>
  <si>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</si>
  <si>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</si>
  <si>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</si>
  <si>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</si>
  <si>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</si>
  <si>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</si>
  <si>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</si>
  <si>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</si>
  <si>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</si>
  <si>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</si>
  <si>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</si>
  <si>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</si>
  <si>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</si>
  <si>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</si>
  <si>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</si>
  <si>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</si>
  <si>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</si>
  <si>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</si>
  <si>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</si>
  <si>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</si>
  <si>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</si>
  <si>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</si>
  <si>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</si>
  <si>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</si>
  <si>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</si>
  <si>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</si>
  <si>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</si>
  <si>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</si>
  <si>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</si>
  <si>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</si>
  <si>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</si>
  <si>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</si>
  <si>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</si>
  <si>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</si>
  <si>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</si>
  <si>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</si>
  <si>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</si>
  <si>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</si>
  <si>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</si>
  <si>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</si>
  <si>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</si>
  <si>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</si>
  <si>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</si>
  <si>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</si>
  <si>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</si>
  <si>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</si>
  <si>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</si>
  <si>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</si>
  <si>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</si>
  <si>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</si>
  <si>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</si>
  <si>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</si>
  <si>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</si>
  <si>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</si>
  <si>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</si>
  <si>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</si>
  <si>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</si>
  <si>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</si>
  <si>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</si>
  <si>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</si>
  <si>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</si>
  <si>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</si>
  <si>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</si>
  <si>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</si>
  <si>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</si>
  <si>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</si>
  <si>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</si>
  <si>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</si>
  <si>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</si>
  <si>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</si>
  <si>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</si>
  <si>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</si>
  <si>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</si>
  <si>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</si>
  <si>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</si>
  <si>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</si>
  <si>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</si>
  <si>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</si>
  <si>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</si>
  <si>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</si>
  <si>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</si>
  <si>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</si>
  <si>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</si>
  <si>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</si>
  <si>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</si>
  <si>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</si>
  <si>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</si>
  <si>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</si>
  <si>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</si>
  <si>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</si>
  <si>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</si>
  <si>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</si>
  <si>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</si>
  <si>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</si>
  <si>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</si>
  <si>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</si>
  <si>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</si>
  <si>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</si>
  <si>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</si>
  <si>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</si>
  <si>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</si>
  <si>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</si>
  <si>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</si>
  <si>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</si>
  <si>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</si>
  <si>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</si>
  <si>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</si>
  <si>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</si>
  <si>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</si>
  <si>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</si>
  <si>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</si>
  <si>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</si>
  <si>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</si>
  <si>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</si>
  <si>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</si>
  <si>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</si>
  <si>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</si>
  <si>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</si>
  <si>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</si>
  <si>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</si>
  <si>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</si>
  <si>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</si>
  <si>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</si>
  <si>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</si>
  <si>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</si>
  <si>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</si>
  <si>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</si>
  <si>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</si>
  <si>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</si>
  <si>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</si>
  <si>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</si>
  <si>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</si>
  <si>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</si>
  <si>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</si>
  <si>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</si>
  <si>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</si>
  <si>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</si>
  <si>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</si>
  <si>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</si>
  <si>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</si>
  <si>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</si>
  <si>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</si>
  <si>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</si>
  <si>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</si>
  <si>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</si>
  <si>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</si>
  <si>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</si>
  <si>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</si>
  <si>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</si>
  <si>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</si>
  <si>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</si>
  <si>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</si>
  <si>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</si>
  <si>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</si>
  <si>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</si>
  <si>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</si>
  <si>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</si>
  <si>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</si>
  <si>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</si>
  <si>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</si>
  <si>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</si>
  <si>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</si>
  <si>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</si>
  <si>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</si>
  <si>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</si>
  <si>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</si>
  <si>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</si>
  <si>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</si>
  <si>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</si>
  <si>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</si>
  <si>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</si>
  <si>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</si>
  <si>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</si>
  <si>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</si>
  <si>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</si>
  <si>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</si>
  <si>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</si>
  <si>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</si>
  <si>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</si>
  <si>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</si>
  <si>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</si>
  <si>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</si>
  <si>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</si>
  <si>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</si>
  <si>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</si>
  <si>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</si>
  <si>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</si>
  <si>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</si>
  <si>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</si>
  <si>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</si>
  <si>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</si>
  <si>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</si>
  <si>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</si>
  <si>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</si>
  <si>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</si>
  <si>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</si>
  <si>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</si>
  <si>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</si>
  <si>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</si>
  <si>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</si>
  <si>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</si>
  <si>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</si>
  <si>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</si>
  <si>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</si>
  <si>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</si>
  <si>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</si>
  <si>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</si>
  <si>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</si>
  <si>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</si>
  <si>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</si>
  <si>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</si>
  <si>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</si>
  <si>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</si>
  <si>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</si>
  <si>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</si>
  <si>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</si>
  <si>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</si>
  <si>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</si>
  <si>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</si>
  <si>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</si>
  <si>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</si>
  <si>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</si>
  <si>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</si>
  <si>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</si>
  <si>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</si>
  <si>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</si>
  <si>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</si>
  <si>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</si>
  <si>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</si>
  <si>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</si>
  <si>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</si>
  <si>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</si>
  <si>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</si>
  <si>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</si>
  <si>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</si>
  <si>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</si>
  <si>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</si>
  <si>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</si>
  <si>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</si>
  <si>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</si>
  <si>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</si>
  <si>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</si>
  <si>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</si>
  <si>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</si>
  <si>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</si>
  <si>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</si>
  <si>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</si>
  <si>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</si>
  <si>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</si>
  <si>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</si>
  <si>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</si>
  <si>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</si>
  <si>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</si>
  <si>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</si>
  <si>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</si>
  <si>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</si>
  <si>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</si>
  <si>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</si>
  <si>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</si>
  <si>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</si>
  <si>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</si>
  <si>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</si>
  <si>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</si>
  <si>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</si>
  <si>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</si>
  <si>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</si>
  <si>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</si>
  <si>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</si>
  <si>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</si>
  <si>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</si>
  <si>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</si>
  <si>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</si>
  <si>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</si>
  <si>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</si>
  <si>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</si>
  <si>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</si>
  <si>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</si>
  <si>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</si>
  <si>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</si>
  <si>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</si>
  <si>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</si>
  <si>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</si>
  <si>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</si>
  <si>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</si>
  <si>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</si>
  <si>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</si>
  <si>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</si>
  <si>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</si>
  <si>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</si>
  <si>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</si>
  <si>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</si>
  <si>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</si>
  <si>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</si>
  <si>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</si>
  <si>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</si>
  <si>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</si>
  <si>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</si>
  <si>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</si>
  <si>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</si>
  <si>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</si>
  <si>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</si>
  <si>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</si>
  <si>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</si>
  <si>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</si>
  <si>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</si>
  <si>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</si>
  <si>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</si>
  <si>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</si>
  <si>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</si>
  <si>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</si>
  <si>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</si>
  <si>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</si>
  <si>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</si>
  <si>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</si>
  <si>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</si>
  <si>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</si>
  <si>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</si>
  <si>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</si>
  <si>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</si>
  <si>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</si>
  <si>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</si>
  <si>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</si>
  <si>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</si>
  <si>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</si>
  <si>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</si>
  <si>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</si>
  <si>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</si>
  <si>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</si>
  <si>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</si>
  <si>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</si>
  <si>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</si>
  <si>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</si>
  <si>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</si>
  <si>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</si>
  <si>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</si>
  <si>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</si>
  <si>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</si>
  <si>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</si>
  <si>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</si>
  <si>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</si>
  <si>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</si>
  <si>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</si>
  <si>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</si>
  <si>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</si>
  <si>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</si>
  <si>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</si>
  <si>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</si>
  <si>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</si>
  <si>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</si>
  <si>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</si>
  <si>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</si>
  <si>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</si>
  <si>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</si>
  <si>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</si>
  <si>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</si>
  <si>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</si>
  <si>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</si>
  <si>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</si>
  <si>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</si>
  <si>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</si>
  <si>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</si>
  <si>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</si>
  <si>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</si>
  <si>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</si>
  <si>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</si>
  <si>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</si>
  <si>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</si>
  <si>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</si>
  <si>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</si>
  <si>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</si>
  <si>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</si>
  <si>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</si>
  <si>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</si>
  <si>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</si>
  <si>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</si>
  <si>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</si>
  <si>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</si>
  <si>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</si>
  <si>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</si>
  <si>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</si>
  <si>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</si>
  <si>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</si>
  <si>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</si>
  <si>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</si>
  <si>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</si>
  <si>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</si>
  <si>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</si>
  <si>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</si>
  <si>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</si>
  <si>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</si>
  <si>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</si>
  <si>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</si>
  <si>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</si>
  <si>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</si>
  <si>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</si>
  <si>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</si>
  <si>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</si>
  <si>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</si>
  <si>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</si>
  <si>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</si>
  <si>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</si>
  <si>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</si>
  <si>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</si>
  <si>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</si>
  <si>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</si>
  <si>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</si>
  <si>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</si>
  <si>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</si>
  <si>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</si>
  <si>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</si>
  <si>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</si>
  <si>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</si>
  <si>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</si>
  <si>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</si>
  <si>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</si>
  <si>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</si>
  <si>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</si>
  <si>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</si>
  <si>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</si>
  <si>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</si>
  <si>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</si>
  <si>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</si>
  <si>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</si>
  <si>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</si>
  <si>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</si>
  <si>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</si>
  <si>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</si>
  <si>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</si>
  <si>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</si>
  <si>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</si>
  <si>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</si>
  <si>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</si>
  <si>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</si>
  <si>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</si>
  <si>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</si>
  <si>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</si>
  <si>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</si>
  <si>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</si>
  <si>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</si>
  <si>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</si>
  <si>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</si>
  <si>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</si>
  <si>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</si>
  <si>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</si>
  <si>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</si>
  <si>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</si>
  <si>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</si>
  <si>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</si>
  <si>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</si>
  <si>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</si>
  <si>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</si>
  <si>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</si>
  <si>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</si>
  <si>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</si>
  <si>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</si>
  <si>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</si>
  <si>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</si>
  <si>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</si>
  <si>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</si>
  <si>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</si>
  <si>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</si>
  <si>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</si>
  <si>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</si>
  <si>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</si>
  <si>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</si>
  <si>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</si>
  <si>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</si>
  <si>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</si>
  <si>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</si>
  <si>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</si>
  <si>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</si>
  <si>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</si>
  <si>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</si>
  <si>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</si>
  <si>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</si>
  <si>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</si>
  <si>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</si>
  <si>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</si>
  <si>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</si>
  <si>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</si>
  <si>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</si>
  <si>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</si>
  <si>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</si>
  <si>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</si>
  <si>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</si>
  <si>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</si>
  <si>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</si>
  <si>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</si>
  <si>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</si>
  <si>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</si>
  <si>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</si>
  <si>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</si>
  <si>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</si>
  <si>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</si>
  <si>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</si>
  <si>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</si>
  <si>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</si>
  <si>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</si>
  <si>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</si>
  <si>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</si>
  <si>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</si>
  <si>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</si>
  <si>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</si>
  <si>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</si>
  <si>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</si>
  <si>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</si>
  <si>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</si>
  <si>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</si>
  <si>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</si>
  <si>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</si>
  <si>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</si>
  <si>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</si>
  <si>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</si>
  <si>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</si>
  <si>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</si>
  <si>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</si>
  <si>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</si>
  <si>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</si>
  <si>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</si>
  <si>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</si>
  <si>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</si>
  <si>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</si>
  <si>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</si>
  <si>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</si>
  <si>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</si>
  <si>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</si>
  <si>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</si>
  <si>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</si>
  <si>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</si>
  <si>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</si>
  <si>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</si>
  <si>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</si>
  <si>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</si>
  <si>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</si>
  <si>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</si>
  <si>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</si>
  <si>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</si>
  <si>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</si>
  <si>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</si>
  <si>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</si>
  <si>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</si>
  <si>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</si>
  <si>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</si>
  <si>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</si>
  <si>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</si>
  <si>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</si>
  <si>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</si>
  <si>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</si>
  <si>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</si>
  <si>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</si>
  <si>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</si>
  <si>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</si>
  <si>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</si>
  <si>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</si>
  <si>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</si>
  <si>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</si>
  <si>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</si>
  <si>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</si>
  <si>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</si>
  <si>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</si>
  <si>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</si>
  <si>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</si>
  <si>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</si>
  <si>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</si>
  <si>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</si>
  <si>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</si>
  <si>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</si>
  <si>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</si>
  <si>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</si>
  <si>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</si>
  <si>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</si>
  <si>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</si>
  <si>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</si>
  <si>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</si>
  <si>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</si>
  <si>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</si>
  <si>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</si>
  <si>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</si>
  <si>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</si>
  <si>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</si>
  <si>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</si>
  <si>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</si>
  <si>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</si>
  <si>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</si>
  <si>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</si>
  <si>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</si>
  <si>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</si>
  <si>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</si>
  <si>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</si>
  <si>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</si>
  <si>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</si>
  <si>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</si>
  <si>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</si>
  <si>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</si>
  <si>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</si>
  <si>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</si>
  <si>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</si>
  <si>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</si>
  <si>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</si>
  <si>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</si>
  <si>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</si>
  <si>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</si>
  <si>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</si>
  <si>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</si>
  <si>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</si>
  <si>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</si>
  <si>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</si>
  <si>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</si>
  <si>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</si>
  <si>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</si>
  <si>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</si>
  <si>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</si>
  <si>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</si>
  <si>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</si>
  <si>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</si>
  <si>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</si>
  <si>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</si>
  <si>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</si>
  <si>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</si>
  <si>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</si>
  <si>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</si>
  <si>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</si>
  <si>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</si>
  <si>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</si>
  <si>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</si>
  <si>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</si>
  <si>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</si>
  <si>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</si>
  <si>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</si>
  <si>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</si>
  <si>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</si>
  <si>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</si>
  <si>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</si>
  <si>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</si>
  <si>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</si>
  <si>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</si>
  <si>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</si>
  <si>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</si>
  <si>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</si>
  <si>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</si>
  <si>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</si>
  <si>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</si>
  <si>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</si>
  <si>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</si>
  <si>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</si>
  <si>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</si>
  <si>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</si>
  <si>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</si>
  <si>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</si>
  <si>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</si>
  <si>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</si>
  <si>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</si>
  <si>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</si>
  <si>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</si>
  <si>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</si>
  <si>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</si>
  <si>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</si>
  <si>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</si>
  <si>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</si>
  <si>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</si>
  <si>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</si>
  <si>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</si>
  <si>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</si>
  <si>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</si>
  <si>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</si>
  <si>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</si>
  <si>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</si>
  <si>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</si>
  <si>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</si>
  <si>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</si>
  <si>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</si>
  <si>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</si>
  <si>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</si>
  <si>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</si>
  <si>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</si>
  <si>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</si>
  <si>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</si>
  <si>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</si>
  <si>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</si>
  <si>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</si>
  <si>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</si>
  <si>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</si>
  <si>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</si>
  <si>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</si>
  <si>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</si>
  <si>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</si>
  <si>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</si>
  <si>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</si>
  <si>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</si>
  <si>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</si>
  <si>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</si>
  <si>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</si>
  <si>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</si>
  <si>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</si>
  <si>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</si>
  <si>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</si>
  <si>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</si>
  <si>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</si>
  <si>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</si>
  <si>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</si>
  <si>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</si>
  <si>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</si>
  <si>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</si>
  <si>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</si>
  <si>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</si>
  <si>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</si>
  <si>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</si>
  <si>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</si>
  <si>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</si>
  <si>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</si>
  <si>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</si>
  <si>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</si>
  <si>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</si>
  <si>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</si>
  <si>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</si>
  <si>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</si>
  <si>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</si>
  <si>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</si>
  <si>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</si>
  <si>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</si>
  <si>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</si>
  <si>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</si>
  <si>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</si>
  <si>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</si>
  <si>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</si>
  <si>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</si>
  <si>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</si>
  <si>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</si>
  <si>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</si>
  <si>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</si>
  <si>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</si>
  <si>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</si>
  <si>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</si>
  <si>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</si>
  <si>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</si>
  <si>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</si>
  <si>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</si>
  <si>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</si>
  <si>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</si>
  <si>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</si>
  <si>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</si>
  <si>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</si>
  <si>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</si>
  <si>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</si>
  <si>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</si>
  <si>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</si>
  <si>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</si>
  <si>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</si>
  <si>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</si>
  <si>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</si>
  <si>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</si>
  <si>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</si>
  <si>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</si>
  <si>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</si>
  <si>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</si>
  <si>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</si>
  <si>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</si>
  <si>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</si>
  <si>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</si>
  <si>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</si>
  <si>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</si>
  <si>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</si>
  <si>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</si>
  <si>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</si>
  <si>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</si>
  <si>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</si>
  <si>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</si>
  <si>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</si>
  <si>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</si>
  <si>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</si>
  <si>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</si>
  <si>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</si>
  <si>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</si>
  <si>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</si>
  <si>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</si>
  <si>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</si>
  <si>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</si>
  <si>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</si>
  <si>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</si>
  <si>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</si>
  <si>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</si>
  <si>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</si>
  <si>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</si>
  <si>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</si>
  <si>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</si>
  <si>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</si>
  <si>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</si>
  <si>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</si>
  <si>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</si>
  <si>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</si>
  <si>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</si>
  <si>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</si>
  <si>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</si>
  <si>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</si>
  <si>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</si>
  <si>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</si>
  <si>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</si>
  <si>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</si>
  <si>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</si>
  <si>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</si>
  <si>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</si>
  <si>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</si>
  <si>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</si>
  <si>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</si>
  <si>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</si>
  <si>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</si>
  <si>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</si>
  <si>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</si>
  <si>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</si>
  <si>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</si>
  <si>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</si>
  <si>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</si>
  <si>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</si>
  <si>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</si>
  <si>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</si>
  <si>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</si>
  <si>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</si>
  <si>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</si>
  <si>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</si>
  <si>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</si>
  <si>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</si>
  <si>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</si>
  <si>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</si>
  <si>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</si>
  <si>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</si>
  <si>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</si>
  <si>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</si>
  <si>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</si>
  <si>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</si>
  <si>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</si>
  <si>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</si>
  <si>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</si>
  <si>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</si>
  <si>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</si>
  <si>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</si>
  <si>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</si>
  <si>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</si>
  <si>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</si>
  <si>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</si>
  <si>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</si>
  <si>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</si>
  <si>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</si>
  <si>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</si>
  <si>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</si>
  <si>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</si>
  <si>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</si>
  <si>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</si>
  <si>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</si>
  <si>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</si>
  <si>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</si>
  <si>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</si>
  <si>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</si>
  <si>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</si>
  <si>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</si>
  <si>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</si>
  <si>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</si>
  <si>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</si>
  <si>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</si>
  <si>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</si>
  <si>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</si>
  <si>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</si>
  <si>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</si>
  <si>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</si>
  <si>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</si>
  <si>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</si>
  <si>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</si>
  <si>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</si>
  <si>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</si>
  <si>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</si>
  <si>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</si>
  <si>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</si>
  <si>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</si>
  <si>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</si>
  <si>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</si>
  <si>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</si>
  <si>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</si>
  <si>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</si>
  <si>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</si>
  <si>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</si>
  <si>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</si>
  <si>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</si>
  <si>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</si>
  <si>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</si>
  <si>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</si>
  <si>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</si>
  <si>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</si>
  <si>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</si>
  <si>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</si>
  <si>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</si>
  <si>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</si>
  <si>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</si>
  <si>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</si>
  <si>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</si>
  <si>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</si>
  <si>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</si>
  <si>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</si>
  <si>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</si>
  <si>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</si>
  <si>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</si>
  <si>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</si>
  <si>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</si>
  <si>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</si>
  <si>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</si>
  <si>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</si>
  <si>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</si>
  <si>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</si>
  <si>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</si>
  <si>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</si>
  <si>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</si>
  <si>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</si>
  <si>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</si>
  <si>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</si>
  <si>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</si>
  <si>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</si>
  <si>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</si>
  <si>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</si>
  <si>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</si>
  <si>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</si>
  <si>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</si>
  <si>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</si>
  <si>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</si>
  <si>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</si>
  <si>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</si>
  <si>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</si>
  <si>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</si>
  <si>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</si>
  <si>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</si>
  <si>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</si>
  <si>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</si>
  <si>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</si>
  <si>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</si>
  <si>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</si>
  <si>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</si>
  <si>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</si>
  <si>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</si>
  <si>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</si>
  <si>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</si>
  <si>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</si>
  <si>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</si>
  <si>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</si>
  <si>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</si>
  <si>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</si>
  <si>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</si>
  <si>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</si>
  <si>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</si>
  <si>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</si>
  <si>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</si>
  <si>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</si>
  <si>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</si>
  <si>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</si>
  <si>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</si>
  <si>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</si>
  <si>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</si>
  <si>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</si>
  <si>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</si>
  <si>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</si>
  <si>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</si>
  <si>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</si>
  <si>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</si>
  <si>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</si>
  <si>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</si>
  <si>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</si>
  <si>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</si>
  <si>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</si>
  <si>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</si>
  <si>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</si>
  <si>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</si>
  <si>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</si>
  <si>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</si>
  <si>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</si>
  <si>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</si>
  <si>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</si>
  <si>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</si>
  <si>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</si>
  <si>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</si>
  <si>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</si>
  <si>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</si>
  <si>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</si>
  <si>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</si>
  <si>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</si>
  <si>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</si>
  <si>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</si>
  <si>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</si>
  <si>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</si>
  <si>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</si>
  <si>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</si>
  <si>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</si>
  <si>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</si>
  <si>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</si>
  <si>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</si>
  <si>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</si>
  <si>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</si>
  <si>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</si>
  <si>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</si>
  <si>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</si>
  <si>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</si>
  <si>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</si>
  <si>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</si>
  <si>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</si>
  <si>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</si>
  <si>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</si>
  <si>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</si>
  <si>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</si>
  <si>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</si>
  <si>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</si>
  <si>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</si>
  <si>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</si>
  <si>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</si>
  <si>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</si>
  <si>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</si>
  <si>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</si>
  <si>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</si>
  <si>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</si>
  <si>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</si>
  <si>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</si>
  <si>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</si>
  <si>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</si>
  <si>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</si>
  <si>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</si>
  <si>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</si>
  <si>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</si>
  <si>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</si>
  <si>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</si>
  <si>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</si>
  <si>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</si>
  <si>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</si>
  <si>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</si>
  <si>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</si>
  <si>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</si>
  <si>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</si>
  <si>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</si>
  <si>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</si>
  <si>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</si>
  <si>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</si>
  <si>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</si>
  <si>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</si>
  <si>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</si>
  <si>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</si>
  <si>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</si>
  <si>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</si>
  <si>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</si>
  <si>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</si>
  <si>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</si>
  <si>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</si>
  <si>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</si>
  <si>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</si>
  <si>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</si>
  <si>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</si>
  <si>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</si>
  <si>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</si>
  <si>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</si>
  <si>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</si>
  <si>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</si>
  <si>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</si>
  <si>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</si>
  <si>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</si>
  <si>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</si>
  <si>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</si>
  <si>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</si>
  <si>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</si>
  <si>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</si>
  <si>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</si>
  <si>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</si>
  <si>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</si>
  <si>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</si>
  <si>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</si>
  <si>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</si>
  <si>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</si>
  <si>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</si>
  <si>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</si>
  <si>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</si>
  <si>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</si>
  <si>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</si>
  <si>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</si>
  <si>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</si>
  <si>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</si>
  <si>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</si>
  <si>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</si>
  <si>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</si>
  <si>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</si>
  <si>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</si>
  <si>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</si>
  <si>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</si>
  <si>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</si>
  <si>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</si>
  <si>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</si>
  <si>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</si>
  <si>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</si>
  <si>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</si>
  <si>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</si>
  <si>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</si>
  <si>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</si>
  <si>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</si>
  <si>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</si>
  <si>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</si>
  <si>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</si>
  <si>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</si>
  <si>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</si>
  <si>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</si>
  <si>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</si>
  <si>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</si>
  <si>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</si>
  <si>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</si>
  <si>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</si>
  <si>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</si>
  <si>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</si>
  <si>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</si>
  <si>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</si>
  <si>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</si>
  <si>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</si>
  <si>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</si>
  <si>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</si>
  <si>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</si>
  <si>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</si>
  <si>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</si>
  <si>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</si>
  <si>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</si>
  <si>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</si>
  <si>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</si>
  <si>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</si>
  <si>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</si>
  <si>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</si>
  <si>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</si>
  <si>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</si>
  <si>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</si>
  <si>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</si>
  <si>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</si>
  <si>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</si>
  <si>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</si>
  <si>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</si>
  <si>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</si>
  <si>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</si>
  <si>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</si>
  <si>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</si>
  <si>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</si>
  <si>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</si>
  <si>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</si>
  <si>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</si>
  <si>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</si>
  <si>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</si>
  <si>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</si>
  <si>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</si>
  <si>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</si>
  <si>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</si>
  <si>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</si>
  <si>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</si>
  <si>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</si>
  <si>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</si>
  <si>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</si>
  <si>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</si>
  <si>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</si>
  <si>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</si>
  <si>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</si>
  <si>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</si>
  <si>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</si>
  <si>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</si>
  <si>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</si>
  <si>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</si>
  <si>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</si>
  <si>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</si>
  <si>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</si>
  <si>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</si>
  <si>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</si>
  <si>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</si>
  <si>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</si>
  <si>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</si>
  <si>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</si>
  <si>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</si>
  <si>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</si>
  <si>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</si>
  <si>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</si>
  <si>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</si>
  <si>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</si>
  <si>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</si>
  <si>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</si>
  <si>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</si>
  <si>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</si>
  <si>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</si>
  <si>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</si>
  <si>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</si>
  <si>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</si>
  <si>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</si>
  <si>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</si>
  <si>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</si>
  <si>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</si>
  <si>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</si>
  <si>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</si>
  <si>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</si>
  <si>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</si>
  <si>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</si>
  <si>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</si>
  <si>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</si>
  <si>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</si>
  <si>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</si>
  <si>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</si>
  <si>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</si>
  <si>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</si>
  <si>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</si>
  <si>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</si>
  <si>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</si>
  <si>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</si>
  <si>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</si>
  <si>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</si>
  <si>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</si>
  <si>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</si>
  <si>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</si>
  <si>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</si>
  <si>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</si>
  <si>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</si>
  <si>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</si>
  <si>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</si>
  <si>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</si>
  <si>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</si>
  <si>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</si>
  <si>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</si>
  <si>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</si>
  <si>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</si>
  <si>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</si>
  <si>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</si>
  <si>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</si>
  <si>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</si>
  <si>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</si>
  <si>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</si>
  <si>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</si>
  <si>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</si>
  <si>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</si>
  <si>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</si>
  <si>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</si>
  <si>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</si>
  <si>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</si>
  <si>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</si>
  <si>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</si>
  <si>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</si>
  <si>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</si>
  <si>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</si>
  <si>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</si>
  <si>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</si>
  <si>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</si>
  <si>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</si>
  <si>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</si>
  <si>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</si>
  <si>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</si>
  <si>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</si>
  <si>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</si>
  <si>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</si>
  <si>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</si>
  <si>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</si>
  <si>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</si>
  <si>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</si>
  <si>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</si>
  <si>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</si>
  <si>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</si>
  <si>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</si>
  <si>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</si>
  <si>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</si>
  <si>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</si>
  <si>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</si>
  <si>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</si>
  <si>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</si>
  <si>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</si>
  <si>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</si>
  <si>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</si>
  <si>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</si>
  <si>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</si>
  <si>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</si>
  <si>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</si>
  <si>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</si>
  <si>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</si>
  <si>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</si>
  <si>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</si>
  <si>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</si>
  <si>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</si>
  <si>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</si>
  <si>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</si>
  <si>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</si>
  <si>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</si>
  <si>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</si>
  <si>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</si>
  <si>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</si>
  <si>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</si>
  <si>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</si>
  <si>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</si>
  <si>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</si>
  <si>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</si>
  <si>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</si>
  <si>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</si>
  <si>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</si>
  <si>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</si>
  <si>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</si>
  <si>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</si>
  <si>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</si>
  <si>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</si>
  <si>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</si>
  <si>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</si>
  <si>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</si>
  <si>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</si>
  <si>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</si>
  <si>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</si>
  <si>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</si>
  <si>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</si>
  <si>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</si>
  <si>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</si>
  <si>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</si>
  <si>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</si>
  <si>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</si>
  <si>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</si>
  <si>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</si>
  <si>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</si>
  <si>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</si>
  <si>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</si>
  <si>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</si>
  <si>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</si>
  <si>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</si>
  <si>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</si>
  <si>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</si>
  <si>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</si>
  <si>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</si>
  <si>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</si>
  <si>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</si>
  <si>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</si>
  <si>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</si>
  <si>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</si>
  <si>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</si>
  <si>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</si>
  <si>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</si>
  <si>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</si>
  <si>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</si>
  <si>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</si>
  <si>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</si>
  <si>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</si>
  <si>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</si>
  <si>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</si>
  <si>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</si>
  <si>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</si>
  <si>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</si>
  <si>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</si>
  <si>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</si>
  <si>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</si>
  <si>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</si>
  <si>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</si>
  <si>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</si>
  <si>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</si>
  <si>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</si>
  <si>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</si>
  <si>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</si>
  <si>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</si>
  <si>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</si>
  <si>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</si>
  <si>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</si>
  <si>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</si>
  <si>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</si>
  <si>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</si>
  <si>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</si>
  <si>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</si>
  <si>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</si>
  <si>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</si>
  <si>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</si>
  <si>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</si>
  <si>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</si>
  <si>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</si>
  <si>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</si>
  <si>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</si>
  <si>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</si>
  <si>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</si>
  <si>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</si>
  <si>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</si>
  <si>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</si>
  <si>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</si>
  <si>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</si>
  <si>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</si>
  <si>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</si>
  <si>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</si>
  <si>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</si>
  <si>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</si>
  <si>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</si>
  <si>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</si>
  <si>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</si>
  <si>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</si>
  <si>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</si>
  <si>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</si>
  <si>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</si>
  <si>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</si>
  <si>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</si>
  <si>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</si>
  <si>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</si>
  <si>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</si>
  <si>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</si>
  <si>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</si>
  <si>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</si>
  <si>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</si>
  <si>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</si>
  <si>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</si>
  <si>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</si>
  <si>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</si>
  <si>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</si>
  <si>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</si>
  <si>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</si>
  <si>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</si>
  <si>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</si>
  <si>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</si>
  <si>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</si>
  <si>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</si>
  <si>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</si>
  <si>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</si>
  <si>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</si>
  <si>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</si>
  <si>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</si>
  <si>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</si>
  <si>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</si>
  <si>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</si>
  <si>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</si>
  <si>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</si>
  <si>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</si>
  <si>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</si>
  <si>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</si>
  <si>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</si>
  <si>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</si>
  <si>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</si>
  <si>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</si>
  <si>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</si>
  <si>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</si>
  <si>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</si>
  <si>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</si>
  <si>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</si>
  <si>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</si>
  <si>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</si>
  <si>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</si>
  <si>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</si>
  <si>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</si>
  <si>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</si>
  <si>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</si>
  <si>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</si>
  <si>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</si>
  <si>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</si>
  <si>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</si>
  <si>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</si>
  <si>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</si>
  <si>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</si>
  <si>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</si>
  <si>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</si>
  <si>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</si>
  <si>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</si>
  <si>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</si>
  <si>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</si>
  <si>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</si>
  <si>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</si>
  <si>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</si>
  <si>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</si>
  <si>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</si>
  <si>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</si>
  <si>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</si>
  <si>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</si>
  <si>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</si>
  <si>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</si>
  <si>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</si>
  <si>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</si>
  <si>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</si>
  <si>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</si>
  <si>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</si>
  <si>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</si>
  <si>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</si>
  <si>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</si>
  <si>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</si>
  <si>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</si>
  <si>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</si>
  <si>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</si>
  <si>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</si>
  <si>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</si>
  <si>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</si>
  <si>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</si>
  <si>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</si>
  <si>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</si>
  <si>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</si>
  <si>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</si>
  <si>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</si>
  <si>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</si>
  <si>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</si>
  <si>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</si>
  <si>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</si>
  <si>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</si>
  <si>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</si>
  <si>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</si>
  <si>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</si>
  <si>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</si>
  <si>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</si>
  <si>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</si>
  <si>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</si>
  <si>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</si>
  <si>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</si>
  <si>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</si>
  <si>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</si>
  <si>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</si>
  <si>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</si>
  <si>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</si>
  <si>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</si>
  <si>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</si>
  <si>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</si>
  <si>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</si>
  <si>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</si>
  <si>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</si>
  <si>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</si>
  <si>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</si>
  <si>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</si>
  <si>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</si>
  <si>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</si>
  <si>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</si>
  <si>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</si>
  <si>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</si>
  <si>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</si>
  <si>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</si>
  <si>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</si>
  <si>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</si>
  <si>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</si>
  <si>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</si>
  <si>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</si>
  <si>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</si>
  <si>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</si>
  <si>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</si>
  <si>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</si>
  <si>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</si>
  <si>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</si>
  <si>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</si>
  <si>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</si>
  <si>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</si>
  <si>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</si>
  <si>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</si>
  <si>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</si>
  <si>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</si>
  <si>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</si>
  <si>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</si>
  <si>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</si>
  <si>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</si>
  <si>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</si>
  <si>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</si>
  <si>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</si>
  <si>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</si>
  <si>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</si>
  <si>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</si>
  <si>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</si>
  <si>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</si>
  <si>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</si>
  <si>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</si>
  <si>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</si>
  <si>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</si>
  <si>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</si>
  <si>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</si>
  <si>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</si>
  <si>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</si>
  <si>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</si>
  <si>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</si>
  <si>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</si>
  <si>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</si>
  <si>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</si>
  <si>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</si>
  <si>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</si>
  <si>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</si>
  <si>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</si>
  <si>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</si>
  <si>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</si>
  <si>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</si>
  <si>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</si>
  <si>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</si>
  <si>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</si>
  <si>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</si>
  <si>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</si>
  <si>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</si>
  <si>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</si>
  <si>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</si>
  <si>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</si>
  <si>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</si>
  <si>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</si>
  <si>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</si>
  <si>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</si>
  <si>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</si>
  <si>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</si>
  <si>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</si>
  <si>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</si>
  <si>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</si>
  <si>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</si>
  <si>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</si>
  <si>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</si>
  <si>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</si>
  <si>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</si>
  <si>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</si>
  <si>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</si>
  <si>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</si>
  <si>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</si>
  <si>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</si>
  <si>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</si>
  <si>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</si>
  <si>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</si>
  <si>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</si>
  <si>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</si>
  <si>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</si>
  <si>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</si>
  <si>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</si>
  <si>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</si>
  <si>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</si>
  <si>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</si>
  <si>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</si>
  <si>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</si>
  <si>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</si>
  <si>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</si>
  <si>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</si>
  <si>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</si>
  <si>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</si>
  <si>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</si>
  <si>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</si>
  <si>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</si>
  <si>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</si>
  <si>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</si>
  <si>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</si>
  <si>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</si>
  <si>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</si>
  <si>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</si>
  <si>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</si>
  <si>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</si>
  <si>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</si>
  <si>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</si>
  <si>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</si>
  <si>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</si>
  <si>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</si>
  <si>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</si>
  <si>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</si>
  <si>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</si>
  <si>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</si>
  <si>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</si>
  <si>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</si>
  <si>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</si>
  <si>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</si>
  <si>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</si>
  <si>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</si>
  <si>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</si>
  <si>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</si>
  <si>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</si>
  <si>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</si>
  <si>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</si>
  <si>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</si>
  <si>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</si>
  <si>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</si>
  <si>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</si>
  <si>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</si>
  <si>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</si>
  <si>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</si>
  <si>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</si>
  <si>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</si>
  <si>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</si>
  <si>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</si>
  <si>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</si>
  <si>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</si>
  <si>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</si>
  <si>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</si>
  <si>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</si>
  <si>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</si>
  <si>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</si>
  <si>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</si>
  <si>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</si>
  <si>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</si>
  <si>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</si>
  <si>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</si>
  <si>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</si>
  <si>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</si>
  <si>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</si>
  <si>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</si>
  <si>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</si>
  <si>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</si>
  <si>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</si>
  <si>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</si>
  <si>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</si>
  <si>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</si>
  <si>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</si>
  <si>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</si>
  <si>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</si>
  <si>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</si>
  <si>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</si>
  <si>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</si>
  <si>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</si>
  <si>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</si>
  <si>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</si>
  <si>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</si>
  <si>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</si>
  <si>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</si>
  <si>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</si>
  <si>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</si>
  <si>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</si>
  <si>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</si>
  <si>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</si>
  <si>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</si>
  <si>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</si>
  <si>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</si>
  <si>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</si>
  <si>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</si>
  <si>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</si>
  <si>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</si>
  <si>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</si>
  <si>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</si>
  <si>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</si>
  <si>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</si>
  <si>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</si>
  <si>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</si>
  <si>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</si>
  <si>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</si>
  <si>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</si>
  <si>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</si>
  <si>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</si>
  <si>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</si>
  <si>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</si>
  <si>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</si>
  <si>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</si>
  <si>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</si>
  <si>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</si>
  <si>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</si>
  <si>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</si>
  <si>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</si>
  <si>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</si>
  <si>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</si>
  <si>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</si>
  <si>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</si>
  <si>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</si>
  <si>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</si>
  <si>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</si>
  <si>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</si>
  <si>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</si>
  <si>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</si>
  <si>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</si>
  <si>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</si>
  <si>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</si>
  <si>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</si>
  <si>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</si>
  <si>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</si>
  <si>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</si>
  <si>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</si>
  <si>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</si>
  <si>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</si>
  <si>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</si>
  <si>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</si>
  <si>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</si>
  <si>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</si>
  <si>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</si>
  <si>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</si>
  <si>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</si>
  <si>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</si>
  <si>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</si>
  <si>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</si>
  <si>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</si>
  <si>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</si>
  <si>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</si>
  <si>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</si>
  <si>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</si>
  <si>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</si>
  <si>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</si>
  <si>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</si>
  <si>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</si>
  <si>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</si>
  <si>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</si>
  <si>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</si>
  <si>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</si>
  <si>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</si>
  <si>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</si>
  <si>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</si>
  <si>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</si>
  <si>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</si>
  <si>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</si>
  <si>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</si>
  <si>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</si>
  <si>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</si>
  <si>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</si>
  <si>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</si>
  <si>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</si>
  <si>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</si>
  <si>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</si>
  <si>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</si>
  <si>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</si>
  <si>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</si>
  <si>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</si>
  <si>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</si>
  <si>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</si>
  <si>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</si>
  <si>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</si>
  <si>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</si>
  <si>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</si>
  <si>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</si>
  <si>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</si>
  <si>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</si>
  <si>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</si>
  <si>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</si>
  <si>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</si>
  <si>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</si>
  <si>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</si>
  <si>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</si>
  <si>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</si>
  <si>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</si>
  <si>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</si>
  <si>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</si>
  <si>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</si>
  <si>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</si>
  <si>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</si>
  <si>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</si>
  <si>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</si>
  <si>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</si>
  <si>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</si>
  <si>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</si>
  <si>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</si>
  <si>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</si>
  <si>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</si>
  <si>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</si>
  <si>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</si>
  <si>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</si>
  <si>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</si>
  <si>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</si>
  <si>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</si>
  <si>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</si>
  <si>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</si>
  <si>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</si>
  <si>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</si>
  <si>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</si>
  <si>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</si>
  <si>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</si>
  <si>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</si>
  <si>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</si>
  <si>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</si>
  <si>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</si>
  <si>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</si>
  <si>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</si>
  <si>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</si>
  <si>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</si>
  <si>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</si>
  <si>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</si>
  <si>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</si>
  <si>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</si>
  <si>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</si>
  <si>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</si>
  <si>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</si>
  <si>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</si>
  <si>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</si>
  <si>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</si>
  <si>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</si>
  <si>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</si>
  <si>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</si>
  <si>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</si>
  <si>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</si>
  <si>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</si>
  <si>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</si>
  <si>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</si>
  <si>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</si>
  <si>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</si>
  <si>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</si>
  <si>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</si>
  <si>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</si>
  <si>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</si>
  <si>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</si>
  <si>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</si>
  <si>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</si>
  <si>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</si>
  <si>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</si>
  <si>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</si>
  <si>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</si>
  <si>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</si>
  <si>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</si>
  <si>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</si>
  <si>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</si>
  <si>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</si>
  <si>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</si>
  <si>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</si>
  <si>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</si>
  <si>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</si>
  <si>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</si>
  <si>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</si>
  <si>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</si>
  <si>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</si>
  <si>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</si>
  <si>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</si>
  <si>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</si>
  <si>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</si>
  <si>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</si>
  <si>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</si>
  <si>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</si>
  <si>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</si>
  <si>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</si>
  <si>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</si>
  <si>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</si>
  <si>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</si>
  <si>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</si>
  <si>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</si>
  <si>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</si>
  <si>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</si>
  <si>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</si>
  <si>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</si>
  <si>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</si>
  <si>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</si>
  <si>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</si>
  <si>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</si>
  <si>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</si>
  <si>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</si>
  <si>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</si>
  <si>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</si>
  <si>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</si>
  <si>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</si>
  <si>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</si>
  <si>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</si>
  <si>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</si>
  <si>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</si>
  <si>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</si>
  <si>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</si>
  <si>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</si>
  <si>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</si>
  <si>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</si>
  <si>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</si>
  <si>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</si>
  <si>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</si>
  <si>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</si>
  <si>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</si>
  <si>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</si>
  <si>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</si>
  <si>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</si>
  <si>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</si>
  <si>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</si>
  <si>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</si>
  <si>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</si>
  <si>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</si>
  <si>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</si>
  <si>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</si>
  <si>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</si>
  <si>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</si>
  <si>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</si>
  <si>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</si>
  <si>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</si>
  <si>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</si>
  <si>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</si>
  <si>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</si>
  <si>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</si>
  <si>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</si>
  <si>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</si>
  <si>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</si>
  <si>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</si>
  <si>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</si>
  <si>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</si>
  <si>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</si>
  <si>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</si>
  <si>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</si>
  <si>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</si>
  <si>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</si>
  <si>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</si>
  <si>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</si>
  <si>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</si>
  <si>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</si>
  <si>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</si>
  <si>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</si>
  <si>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</si>
  <si>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</si>
  <si>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</si>
  <si>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</si>
  <si>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</si>
  <si>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</si>
  <si>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</si>
  <si>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</si>
  <si>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</si>
  <si>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</si>
  <si>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</si>
  <si>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</si>
  <si>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</si>
  <si>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</si>
  <si>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</si>
  <si>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</si>
  <si>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</si>
  <si>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</si>
  <si>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</si>
  <si>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</si>
  <si>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</si>
  <si>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</si>
  <si>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</si>
  <si>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</si>
  <si>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</si>
  <si>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</si>
  <si>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</si>
  <si>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</si>
  <si>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</si>
  <si>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</si>
  <si>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</si>
  <si>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</si>
  <si>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</si>
  <si>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</si>
  <si>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</si>
  <si>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</si>
  <si>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</si>
  <si>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</si>
  <si>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</si>
  <si>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</si>
  <si>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</si>
  <si>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</si>
  <si>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</si>
  <si>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</si>
  <si>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</si>
  <si>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</si>
  <si>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</si>
  <si>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</si>
  <si>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</si>
  <si>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</si>
  <si>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</si>
  <si>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</si>
  <si>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</si>
  <si>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</si>
  <si>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</si>
  <si>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</si>
  <si>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</si>
  <si>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</si>
  <si>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</si>
  <si>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</si>
  <si>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</si>
  <si>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</si>
  <si>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</si>
  <si>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</si>
  <si>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</si>
  <si>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</si>
  <si>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</si>
  <si>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</si>
  <si>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</si>
  <si>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</si>
  <si>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</si>
  <si>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</si>
  <si>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</si>
  <si>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</si>
  <si>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</si>
  <si>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</si>
  <si>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</si>
  <si>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</si>
  <si>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</si>
  <si>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</si>
  <si>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</si>
  <si>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</si>
  <si>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</si>
  <si>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</si>
  <si>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</si>
  <si>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</si>
  <si>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</si>
  <si>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</si>
  <si>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</si>
  <si>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</si>
  <si>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</si>
  <si>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</si>
  <si>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</si>
  <si>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</si>
  <si>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</si>
  <si>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</si>
  <si>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</si>
  <si>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</si>
  <si>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</si>
  <si>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</si>
  <si>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</si>
  <si>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</si>
  <si>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</si>
  <si>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</si>
  <si>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</si>
  <si>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</si>
  <si>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</si>
  <si>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</si>
  <si>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</si>
  <si>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</si>
  <si>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</si>
  <si>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</si>
  <si>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</si>
  <si>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</si>
  <si>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</si>
  <si>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</si>
  <si>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</si>
  <si>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</si>
  <si>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</si>
  <si>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</si>
  <si>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</si>
  <si>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</si>
  <si>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</si>
  <si>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</si>
  <si>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</si>
  <si>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</si>
  <si>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</si>
  <si>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</si>
  <si>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</si>
  <si>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</si>
  <si>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</si>
  <si>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</si>
  <si>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</si>
  <si>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</si>
  <si>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</si>
  <si>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</si>
  <si>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</si>
  <si>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</si>
  <si>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</si>
  <si>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</si>
  <si>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</si>
  <si>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</si>
  <si>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</si>
  <si>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</si>
  <si>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</si>
  <si>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</si>
  <si>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</si>
  <si>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</si>
  <si>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</si>
  <si>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</si>
  <si>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</si>
  <si>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</si>
  <si>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</si>
  <si>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</si>
  <si>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</si>
  <si>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</si>
  <si>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</si>
  <si>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</si>
  <si>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</si>
  <si>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</si>
  <si>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</si>
  <si>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</si>
  <si>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</si>
  <si>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</si>
  <si>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</si>
  <si>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</si>
  <si>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</si>
  <si>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</si>
  <si>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</si>
  <si>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</si>
  <si>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</si>
  <si>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</si>
  <si>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</si>
  <si>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</si>
  <si>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</si>
  <si>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</si>
  <si>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</si>
  <si>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</si>
  <si>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</si>
  <si>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</si>
  <si>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</si>
  <si>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</si>
  <si>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</si>
  <si>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</si>
  <si>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</si>
  <si>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</si>
  <si>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</si>
  <si>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</si>
  <si>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</si>
  <si>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</si>
  <si>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</si>
  <si>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</si>
  <si>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</si>
  <si>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</si>
  <si>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</si>
  <si>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</si>
  <si>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</si>
  <si>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</si>
  <si>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</si>
  <si>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</si>
  <si>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</si>
  <si>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</si>
  <si>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</si>
  <si>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</si>
  <si>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</si>
  <si>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</si>
  <si>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</si>
  <si>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</si>
  <si>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</si>
  <si>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</si>
  <si>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</si>
  <si>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</si>
  <si>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</si>
  <si>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</si>
  <si>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</si>
  <si>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</si>
  <si>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</si>
  <si>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</si>
  <si>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</si>
  <si>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</si>
  <si>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</si>
  <si>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</si>
  <si>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</si>
  <si>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</si>
  <si>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</si>
  <si>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</si>
  <si>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</si>
  <si>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</si>
  <si>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</si>
  <si>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</si>
  <si>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</si>
  <si>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</si>
  <si>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</si>
  <si>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</si>
  <si>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</si>
  <si>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</si>
  <si>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</si>
  <si>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</si>
  <si>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</si>
  <si>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</si>
  <si>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</si>
  <si>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</si>
  <si>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</si>
  <si>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</si>
  <si>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</si>
  <si>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</si>
  <si>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</si>
  <si>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</si>
  <si>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</si>
  <si>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</si>
  <si>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</si>
  <si>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</si>
  <si>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</si>
  <si>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</si>
  <si>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</si>
  <si>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</si>
  <si>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</si>
  <si>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</si>
  <si>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</si>
  <si>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</si>
  <si>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</si>
  <si>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</si>
  <si>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</si>
  <si>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</si>
  <si>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</si>
  <si>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</si>
  <si>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</si>
  <si>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</si>
  <si>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</si>
  <si>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</si>
  <si>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</si>
  <si>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</si>
  <si>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</si>
  <si>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</si>
  <si>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</si>
  <si>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</si>
  <si>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</si>
  <si>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</si>
  <si>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</si>
  <si>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</si>
  <si>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</si>
  <si>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</si>
  <si>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</si>
  <si>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</si>
  <si>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</si>
  <si>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</si>
  <si>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</si>
  <si>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</si>
  <si>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</si>
  <si>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</si>
  <si>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</si>
  <si>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</si>
  <si>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</si>
  <si>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</si>
  <si>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</si>
  <si>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</si>
  <si>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</si>
  <si>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</si>
  <si>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</si>
  <si>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</si>
  <si>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</si>
  <si>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</si>
  <si>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</si>
  <si>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</si>
  <si>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</si>
  <si>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</si>
  <si>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</si>
  <si>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</si>
  <si>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</si>
  <si>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</si>
  <si>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</si>
  <si>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</si>
  <si>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</si>
  <si>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</si>
  <si>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</si>
  <si>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</si>
  <si>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</si>
  <si>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</si>
  <si>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</si>
  <si>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</si>
  <si>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</si>
  <si>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</si>
  <si>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</si>
  <si>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</si>
  <si>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</si>
  <si>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</si>
  <si>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</si>
  <si>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</si>
  <si>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</si>
  <si>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</si>
  <si>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</si>
  <si>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</si>
  <si>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</si>
  <si>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</si>
  <si>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</si>
  <si>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</si>
  <si>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</si>
  <si>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</si>
  <si>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</si>
  <si>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</si>
  <si>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</si>
  <si>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</si>
  <si>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</si>
  <si>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</si>
  <si>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</si>
  <si>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</si>
  <si>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</si>
  <si>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</si>
  <si>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</si>
  <si>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</si>
  <si>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</si>
  <si>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</si>
  <si>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</si>
  <si>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</si>
  <si>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</si>
  <si>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</si>
  <si>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</si>
  <si>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</si>
  <si>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</si>
  <si>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</si>
  <si>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</si>
  <si>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</si>
  <si>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</si>
  <si>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</si>
  <si>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</si>
  <si>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</si>
  <si>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</si>
  <si>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</si>
  <si>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</si>
  <si>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</si>
  <si>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</si>
  <si>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</si>
  <si>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</si>
  <si>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</si>
  <si>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</si>
  <si>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</si>
  <si>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</si>
  <si>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</si>
  <si>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</si>
  <si>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</si>
  <si>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</si>
  <si>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</si>
  <si>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</si>
  <si>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</si>
  <si>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</si>
  <si>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</si>
  <si>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</si>
  <si>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</si>
  <si>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</si>
  <si>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</si>
  <si>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</si>
  <si>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</si>
  <si>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</si>
  <si>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</si>
  <si>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</si>
  <si>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</si>
  <si>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</si>
  <si>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</si>
  <si>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</si>
  <si>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</si>
  <si>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</si>
  <si>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</si>
  <si>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</si>
  <si>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</si>
  <si>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</si>
  <si>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</si>
  <si>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</si>
  <si>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</si>
  <si>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</si>
  <si>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</si>
  <si>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</si>
  <si>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</si>
  <si>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</si>
  <si>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</si>
  <si>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</si>
  <si>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</si>
  <si>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</si>
  <si>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</si>
  <si>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</si>
  <si>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</si>
  <si>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</si>
  <si>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</si>
  <si>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</si>
  <si>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</si>
  <si>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</si>
  <si>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</si>
  <si>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</si>
  <si>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</si>
  <si>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</si>
  <si>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</si>
  <si>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</si>
  <si>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</si>
  <si>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</si>
  <si>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</si>
  <si>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</si>
  <si>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</si>
  <si>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</si>
  <si>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</si>
  <si>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</si>
  <si>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</si>
  <si>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</si>
  <si>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</si>
  <si>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</si>
  <si>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</si>
  <si>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</si>
  <si>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</si>
  <si>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</si>
  <si>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</si>
  <si>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</si>
  <si>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</si>
  <si>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</si>
  <si>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</si>
  <si>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</si>
  <si>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</si>
  <si>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</si>
  <si>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</si>
  <si>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</si>
  <si>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</si>
  <si>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</si>
  <si>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</si>
  <si>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</si>
  <si>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</si>
  <si>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</si>
  <si>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</si>
  <si>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</si>
  <si>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</si>
  <si>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</si>
  <si>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</si>
  <si>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</si>
  <si>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</si>
  <si>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</si>
  <si>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</si>
  <si>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</si>
  <si>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</si>
  <si>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</si>
  <si>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</si>
  <si>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</si>
  <si>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</si>
  <si>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</si>
  <si>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</si>
  <si>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</si>
  <si>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</si>
  <si>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</si>
  <si>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</si>
  <si>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</si>
  <si>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</si>
  <si>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</si>
  <si>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</si>
  <si>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</si>
  <si>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</si>
  <si>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</si>
  <si>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</si>
  <si>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</si>
  <si>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</si>
  <si>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</si>
  <si>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</si>
  <si>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</si>
  <si>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</si>
  <si>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</si>
  <si>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</si>
  <si>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</si>
  <si>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</si>
  <si>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</si>
  <si>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</si>
  <si>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</si>
  <si>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</si>
  <si>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</si>
  <si>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</si>
  <si>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</si>
  <si>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</si>
  <si>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</si>
  <si>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</si>
  <si>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</si>
  <si>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</si>
  <si>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</si>
  <si>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</si>
  <si>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</si>
  <si>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</si>
  <si>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</si>
  <si>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</si>
  <si>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</si>
  <si>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</si>
  <si>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</si>
  <si>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</si>
  <si>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</si>
  <si>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</si>
  <si>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</si>
  <si>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</si>
  <si>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</si>
  <si>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</si>
  <si>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</si>
  <si>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</si>
  <si>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</si>
  <si>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</si>
  <si>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</si>
  <si>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</si>
  <si>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</si>
  <si>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</si>
  <si>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</si>
  <si>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</si>
  <si>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</si>
  <si>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</si>
  <si>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</si>
  <si>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</si>
  <si>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</si>
  <si>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</si>
  <si>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</si>
  <si>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</si>
  <si>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</si>
  <si>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</si>
  <si>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</si>
  <si>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</si>
  <si>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</si>
  <si>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</si>
  <si>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</si>
  <si>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</si>
  <si>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</si>
  <si>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</si>
  <si>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</si>
  <si>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</si>
  <si>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</si>
  <si>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</si>
  <si>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</si>
  <si>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</si>
  <si>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</si>
  <si>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</si>
  <si>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</si>
  <si>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</si>
  <si>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</si>
  <si>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</si>
  <si>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</si>
  <si>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</si>
  <si>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</si>
  <si>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</si>
  <si>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</si>
  <si>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</si>
  <si>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</si>
  <si>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</si>
  <si>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</si>
  <si>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</si>
  <si>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</si>
  <si>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</si>
  <si>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</si>
  <si>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</si>
  <si>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</si>
  <si>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</si>
  <si>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</si>
  <si>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</si>
  <si>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</si>
  <si>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</si>
  <si>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</si>
  <si>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</si>
  <si>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</si>
  <si>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</si>
  <si>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</si>
  <si>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</si>
  <si>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</si>
  <si>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</si>
  <si>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</si>
  <si>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</si>
  <si>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</si>
  <si>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</si>
  <si>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</si>
  <si>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</si>
  <si>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</si>
  <si>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</si>
  <si>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</si>
  <si>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</si>
  <si>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</si>
  <si>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</si>
  <si>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</si>
  <si>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</si>
  <si>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</si>
  <si>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</si>
  <si>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</si>
  <si>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</si>
  <si>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</si>
  <si>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</si>
  <si>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</si>
  <si>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</si>
  <si>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</si>
  <si>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</si>
  <si>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</si>
  <si>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</si>
  <si>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</si>
  <si>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</si>
  <si>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</si>
  <si>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</si>
  <si>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</si>
  <si>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</si>
  <si>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</si>
  <si>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</si>
  <si>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</si>
  <si>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</si>
  <si>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</si>
  <si>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</si>
  <si>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</si>
  <si>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</si>
  <si>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</si>
  <si>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</si>
  <si>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</si>
  <si>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</si>
  <si>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</si>
  <si>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</si>
  <si>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</si>
  <si>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</si>
  <si>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</si>
  <si>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</si>
  <si>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</si>
  <si>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</si>
  <si>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</si>
  <si>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</si>
  <si>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</si>
  <si>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</si>
  <si>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</si>
  <si>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</si>
  <si>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</si>
  <si>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</si>
  <si>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</si>
  <si>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</si>
  <si>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</si>
  <si>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</si>
  <si>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</si>
  <si>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</si>
  <si>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</si>
  <si>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</si>
  <si>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</si>
  <si>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</si>
  <si>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</si>
  <si>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</si>
  <si>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</si>
  <si>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</si>
  <si>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</si>
  <si>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</si>
  <si>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</si>
  <si>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</si>
  <si>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</si>
  <si>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</si>
  <si>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</si>
  <si>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</si>
  <si>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</si>
  <si>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</si>
  <si>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</si>
  <si>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</si>
  <si>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</si>
  <si>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</si>
  <si>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</si>
  <si>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</si>
  <si>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</si>
  <si>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</si>
  <si>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</si>
  <si>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</si>
  <si>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</si>
  <si>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</si>
  <si>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</si>
  <si>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</si>
  <si>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</si>
  <si>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</si>
  <si>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</si>
  <si>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</si>
  <si>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</si>
  <si>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</si>
  <si>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</si>
  <si>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</si>
  <si>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</si>
  <si>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</si>
  <si>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</si>
  <si>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</si>
  <si>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</si>
  <si>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</si>
  <si>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</si>
  <si>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</si>
  <si>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</si>
  <si>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</si>
  <si>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</si>
  <si>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</si>
  <si>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</si>
  <si>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</si>
  <si>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</si>
  <si>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</si>
  <si>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</si>
  <si>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</si>
  <si>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</si>
  <si>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</si>
  <si>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</si>
  <si>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</si>
  <si>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</si>
  <si>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</si>
  <si>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</si>
  <si>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</si>
  <si>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</si>
  <si>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</si>
  <si>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</si>
  <si>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</si>
  <si>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</si>
  <si>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</si>
  <si>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</si>
  <si>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</si>
  <si>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</si>
  <si>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</si>
  <si>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</si>
  <si>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</si>
  <si>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</si>
  <si>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</si>
  <si>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</si>
  <si>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</si>
  <si>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</si>
  <si>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</si>
  <si>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</si>
  <si>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</si>
  <si>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</si>
  <si>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</si>
  <si>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</si>
  <si>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</si>
  <si>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</si>
  <si>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</si>
  <si>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</si>
  <si>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</si>
  <si>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</si>
  <si>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</si>
  <si>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</si>
  <si>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</si>
  <si>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</si>
  <si>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</si>
  <si>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</si>
  <si>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</si>
  <si>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</si>
  <si>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</si>
  <si>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</si>
  <si>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</si>
  <si>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</si>
  <si>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</si>
  <si>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</si>
  <si>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</si>
  <si>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</si>
  <si>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</si>
  <si>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</si>
  <si>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</si>
  <si>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</si>
  <si>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</si>
  <si>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</si>
  <si>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</si>
  <si>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</si>
  <si>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</si>
  <si>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</si>
  <si>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</si>
  <si>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</si>
  <si>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</si>
  <si>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</si>
  <si>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</si>
  <si>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</si>
  <si>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</si>
  <si>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</si>
  <si>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</si>
  <si>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</si>
  <si>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</si>
  <si>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</si>
  <si>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</si>
  <si>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</si>
  <si>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</si>
  <si>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</si>
  <si>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</si>
  <si>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</si>
  <si>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</si>
  <si>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</si>
  <si>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</si>
  <si>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</si>
  <si>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</si>
  <si>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</si>
  <si>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</si>
  <si>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</si>
  <si>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</si>
  <si>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</si>
  <si>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</si>
  <si>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</si>
  <si>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</si>
  <si>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</si>
  <si>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</si>
  <si>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</si>
  <si>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</si>
  <si>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</si>
  <si>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</si>
  <si>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</si>
  <si>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</si>
  <si>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</si>
  <si>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</si>
  <si>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</si>
  <si>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</si>
  <si>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</si>
  <si>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</si>
  <si>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</si>
  <si>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</si>
  <si>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</si>
  <si>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</si>
  <si>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</si>
  <si>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</si>
  <si>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</si>
  <si>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</si>
  <si>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</si>
  <si>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</si>
  <si>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</si>
  <si>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</si>
  <si>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</si>
  <si>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</si>
  <si>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</si>
  <si>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</si>
  <si>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</si>
  <si>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</si>
  <si>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</si>
  <si>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</si>
  <si>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</si>
  <si>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</si>
  <si>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</si>
  <si>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</si>
  <si>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</si>
  <si>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</si>
  <si>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</si>
  <si>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</si>
  <si>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</si>
  <si>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</si>
  <si>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</si>
  <si>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</si>
  <si>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</si>
  <si>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</si>
  <si>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</si>
  <si>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</si>
  <si>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</si>
  <si>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</si>
  <si>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</si>
  <si>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</si>
  <si>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</si>
  <si>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</si>
  <si>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</si>
  <si>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</si>
  <si>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</si>
  <si>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</si>
  <si>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</si>
  <si>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</si>
  <si>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</si>
  <si>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</si>
  <si>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</si>
  <si>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</si>
  <si>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</si>
  <si>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</si>
  <si>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</si>
  <si>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</si>
  <si>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</si>
  <si>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</si>
  <si>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</si>
  <si>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</si>
  <si>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</si>
  <si>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</si>
  <si>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</si>
  <si>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</si>
  <si>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</si>
  <si>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</si>
  <si>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</si>
  <si>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</si>
  <si>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</si>
  <si>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</si>
  <si>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</si>
  <si>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</si>
  <si>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</si>
  <si>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</si>
  <si>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</si>
  <si>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</si>
  <si>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</si>
  <si>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</si>
  <si>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</si>
  <si>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</si>
  <si>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</si>
  <si>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</si>
  <si>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</si>
  <si>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</si>
  <si>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</si>
  <si>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</si>
  <si>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</si>
  <si>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</si>
  <si>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</si>
  <si>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</si>
  <si>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</si>
  <si>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</si>
  <si>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</si>
  <si>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</si>
  <si>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</si>
  <si>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</si>
  <si>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</si>
  <si>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</si>
  <si>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</si>
  <si>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</si>
  <si>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</si>
  <si>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</si>
  <si>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</si>
  <si>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</si>
  <si>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</si>
  <si>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</si>
  <si>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</si>
  <si>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</si>
  <si>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</si>
  <si>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</si>
  <si>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</si>
  <si>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</si>
  <si>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</si>
  <si>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</si>
  <si>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</si>
  <si>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</si>
  <si>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</si>
  <si>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</si>
  <si>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</si>
  <si>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</si>
  <si>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</si>
  <si>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</si>
  <si>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</si>
  <si>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</si>
  <si>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</si>
  <si>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</si>
  <si>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</si>
  <si>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</si>
  <si>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</si>
  <si>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</si>
  <si>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</si>
  <si>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</si>
  <si>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</si>
  <si>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</si>
  <si>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</si>
  <si>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</si>
  <si>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</si>
  <si>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</si>
  <si>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</si>
  <si>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</si>
  <si>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</si>
  <si>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</si>
  <si>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</si>
  <si>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</si>
  <si>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</si>
  <si>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</si>
  <si>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</si>
  <si>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</si>
  <si>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</si>
  <si>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</si>
  <si>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</si>
  <si>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</si>
  <si>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</si>
  <si>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</si>
  <si>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</si>
  <si>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</si>
  <si>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</si>
  <si>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</si>
  <si>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</si>
  <si>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</si>
  <si>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</si>
  <si>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</si>
  <si>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</si>
  <si>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</si>
  <si>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</si>
  <si>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</si>
  <si>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</si>
  <si>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</si>
  <si>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</si>
  <si>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</si>
  <si>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</si>
  <si>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</si>
  <si>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</si>
  <si>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</si>
  <si>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</si>
  <si>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</si>
  <si>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</si>
  <si>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</si>
  <si>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</si>
  <si>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</si>
  <si>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</si>
  <si>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</si>
  <si>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</si>
  <si>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</si>
  <si>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</si>
  <si>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</si>
  <si>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</si>
  <si>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</si>
  <si>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</si>
  <si>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</si>
  <si>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</si>
  <si>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</si>
  <si>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</si>
  <si>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</si>
  <si>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</si>
  <si>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</si>
  <si>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</si>
  <si>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</si>
  <si>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</si>
  <si>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</si>
  <si>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</si>
  <si>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</si>
  <si>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</si>
  <si>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</si>
  <si>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</si>
  <si>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</si>
  <si>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</si>
  <si>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</si>
  <si>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</si>
  <si>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</si>
  <si>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</si>
  <si>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</si>
  <si>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</si>
  <si>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</si>
  <si>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</si>
  <si>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</si>
  <si>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</si>
  <si>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</si>
  <si>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</si>
  <si>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</si>
  <si>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</si>
  <si>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</si>
  <si>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</si>
  <si>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</si>
  <si>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</si>
  <si>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</si>
  <si>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</si>
  <si>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</si>
  <si>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</si>
  <si>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</si>
  <si>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</si>
  <si>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</si>
  <si>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</si>
  <si>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</si>
  <si>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</si>
  <si>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</si>
  <si>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</si>
  <si>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</si>
  <si>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</si>
  <si>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</si>
  <si>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</si>
  <si>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</si>
  <si>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</si>
  <si>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</si>
  <si>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</si>
  <si>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</si>
  <si>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</si>
  <si>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</si>
  <si>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</si>
  <si>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</si>
  <si>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</si>
  <si>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</si>
  <si>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</si>
  <si>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</si>
  <si>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</si>
  <si>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</si>
  <si>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</si>
  <si>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</si>
  <si>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</si>
  <si>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</si>
  <si>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</si>
  <si>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</si>
  <si>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</si>
  <si>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</si>
  <si>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</si>
  <si>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</si>
  <si>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</si>
  <si>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</si>
  <si>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</si>
  <si>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</si>
  <si>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</si>
  <si>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</si>
  <si>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</si>
  <si>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</si>
  <si>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</si>
  <si>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</si>
  <si>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</si>
  <si>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</si>
  <si>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</si>
  <si>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</si>
  <si>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</si>
  <si>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</si>
  <si>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</si>
  <si>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</si>
  <si>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</si>
  <si>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</si>
  <si>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</si>
  <si>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</si>
  <si>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</si>
  <si>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</si>
  <si>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</si>
  <si>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</si>
  <si>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</si>
  <si>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</si>
  <si>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</si>
  <si>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</si>
  <si>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</si>
  <si>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</si>
  <si>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</si>
  <si>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</si>
  <si>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</si>
  <si>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</si>
  <si>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</si>
  <si>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</si>
  <si>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</si>
  <si>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</si>
  <si>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</si>
  <si>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</si>
  <si>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</si>
  <si>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</si>
  <si>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</si>
  <si>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</si>
  <si>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</si>
  <si>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</si>
  <si>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</si>
  <si>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</si>
  <si>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</si>
  <si>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</si>
  <si>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</si>
  <si>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</si>
  <si>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</si>
  <si>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</si>
  <si>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</si>
  <si>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</si>
  <si>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</si>
  <si>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</si>
  <si>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</si>
  <si>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</si>
  <si>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</si>
  <si>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</si>
  <si>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</si>
  <si>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</si>
  <si>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</si>
  <si>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</si>
  <si>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</si>
  <si>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</si>
  <si>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</si>
  <si>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</si>
  <si>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</si>
  <si>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</si>
  <si>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</si>
  <si>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</si>
  <si>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</si>
  <si>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</si>
  <si>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</si>
  <si>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</si>
  <si>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</si>
  <si>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</si>
  <si>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</si>
  <si>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</si>
  <si>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</si>
  <si>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</si>
  <si>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</si>
  <si>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</si>
  <si>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</si>
  <si>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</si>
  <si>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</si>
  <si>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</si>
  <si>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</si>
  <si>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</si>
  <si>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</si>
  <si>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</si>
  <si>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</si>
  <si>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</si>
  <si>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</si>
  <si>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</si>
  <si>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</si>
  <si>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</si>
  <si>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</si>
  <si>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</si>
  <si>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</si>
  <si>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</si>
  <si>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</si>
  <si>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</si>
  <si>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</si>
  <si>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</si>
  <si>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</si>
  <si>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</si>
  <si>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</si>
  <si>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</si>
  <si>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</si>
  <si>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</si>
  <si>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</si>
  <si>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</si>
  <si>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</si>
  <si>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</si>
  <si>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</si>
  <si>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</si>
  <si>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</si>
  <si>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</si>
  <si>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</si>
  <si>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</si>
  <si>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</si>
  <si>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</si>
  <si>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</si>
  <si>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</si>
  <si>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</si>
  <si>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</si>
  <si>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</si>
  <si>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</si>
  <si>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</si>
  <si>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</si>
  <si>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</si>
  <si>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</si>
  <si>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</si>
  <si>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</si>
  <si>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</si>
  <si>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</si>
  <si>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</si>
  <si>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</si>
  <si>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</si>
  <si>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</si>
  <si>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</si>
  <si>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</si>
  <si>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</si>
  <si>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</si>
  <si>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</si>
  <si>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</si>
  <si>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</si>
  <si>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</si>
  <si>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</si>
  <si>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</si>
  <si>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</si>
  <si>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</si>
  <si>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</si>
  <si>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</si>
  <si>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</si>
  <si>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</si>
  <si>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</si>
  <si>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</si>
  <si>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</si>
  <si>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</si>
  <si>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</si>
  <si>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</si>
  <si>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</si>
  <si>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</si>
  <si>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</si>
  <si>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</si>
  <si>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</si>
  <si>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</si>
  <si>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</si>
  <si>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</si>
  <si>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</si>
  <si>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</si>
  <si>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</si>
  <si>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</si>
  <si>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</si>
  <si>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</si>
  <si>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</si>
  <si>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</si>
  <si>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</si>
  <si>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</si>
  <si>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</si>
  <si>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</si>
  <si>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</si>
  <si>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</si>
  <si>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</si>
  <si>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</si>
  <si>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</si>
  <si>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</si>
  <si>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</si>
  <si>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</si>
  <si>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</si>
  <si>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</si>
  <si>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</si>
  <si>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</si>
  <si>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</si>
  <si>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</si>
  <si>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</si>
  <si>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</si>
  <si>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</si>
  <si>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</si>
  <si>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</si>
  <si>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</si>
  <si>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</si>
  <si>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</si>
  <si>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</si>
  <si>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</si>
  <si>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</si>
  <si>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</si>
  <si>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</si>
  <si>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</si>
  <si>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</si>
  <si>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</si>
  <si>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</si>
  <si>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</si>
  <si>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</si>
  <si>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</si>
  <si>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</si>
  <si>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</si>
  <si>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</si>
  <si>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</si>
  <si>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</si>
  <si>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</si>
  <si>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</si>
  <si>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</si>
  <si>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</si>
  <si>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</si>
  <si>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</si>
  <si>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</si>
  <si>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</si>
  <si>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</si>
  <si>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</si>
  <si>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</si>
  <si>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</si>
  <si>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</si>
  <si>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</si>
  <si>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</si>
  <si>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</si>
  <si>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</si>
  <si>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</si>
  <si>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</si>
  <si>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</si>
  <si>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</si>
  <si>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</si>
  <si>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</si>
  <si>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</si>
  <si>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</si>
  <si>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</si>
  <si>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</si>
  <si>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</si>
  <si>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</si>
  <si>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</si>
  <si>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</si>
  <si>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</si>
  <si>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</si>
  <si>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</si>
  <si>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</si>
  <si>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</si>
  <si>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</si>
  <si>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</si>
  <si>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</si>
  <si>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</si>
  <si>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</si>
  <si>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</si>
  <si>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</si>
  <si>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</si>
  <si>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</si>
  <si>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</si>
  <si>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</si>
  <si>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</si>
  <si>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</si>
  <si>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</si>
  <si>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</si>
  <si>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</si>
  <si>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</si>
  <si>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</si>
  <si>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</si>
  <si>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</si>
  <si>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</si>
  <si>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</si>
  <si>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</si>
  <si>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</si>
  <si>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</si>
  <si>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</si>
  <si>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</si>
  <si>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</si>
  <si>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</si>
  <si>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</si>
  <si>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</si>
  <si>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</si>
  <si>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</si>
  <si>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</si>
  <si>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</si>
  <si>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</si>
  <si>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</si>
  <si>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</si>
  <si>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</si>
  <si>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</si>
  <si>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</si>
  <si>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</si>
  <si>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</si>
  <si>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</si>
  <si>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</si>
  <si>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</si>
  <si>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</si>
  <si>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</si>
  <si>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</si>
  <si>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</si>
  <si>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</si>
  <si>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</si>
  <si>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</si>
  <si>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</si>
  <si>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</si>
  <si>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</si>
  <si>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</si>
  <si>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</si>
  <si>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</si>
  <si>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</si>
  <si>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</si>
  <si>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</si>
  <si>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</si>
  <si>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</si>
  <si>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</si>
  <si>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</si>
  <si>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</si>
  <si>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</si>
  <si>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</si>
  <si>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</si>
  <si>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</si>
  <si>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</si>
  <si>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</si>
  <si>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</si>
  <si>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</si>
  <si>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</si>
  <si>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</si>
  <si>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</si>
  <si>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</si>
  <si>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</si>
  <si>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</si>
  <si>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</si>
  <si>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</si>
  <si>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</si>
  <si>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</si>
  <si>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</si>
  <si>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</si>
  <si>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</si>
  <si>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</si>
  <si>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</si>
  <si>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</si>
  <si>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</si>
  <si>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</si>
  <si>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</si>
  <si>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</si>
  <si>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</si>
  <si>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</si>
  <si>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</si>
  <si>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</si>
  <si>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</si>
  <si>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</si>
  <si>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</si>
  <si>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</si>
  <si>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</si>
  <si>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</si>
  <si>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</si>
  <si>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</si>
  <si>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</si>
  <si>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</si>
  <si>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</si>
  <si>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</si>
  <si>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</si>
  <si>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</si>
  <si>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</si>
  <si>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</si>
  <si>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</si>
  <si>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</si>
  <si>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</si>
  <si>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</si>
  <si>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</si>
  <si>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</si>
  <si>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</si>
  <si>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</si>
  <si>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</si>
  <si>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</si>
  <si>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</si>
  <si>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</si>
  <si>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</si>
  <si>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</si>
  <si>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</si>
  <si>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</si>
  <si>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</si>
  <si>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</si>
  <si>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</si>
  <si>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</si>
  <si>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</si>
  <si>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</si>
  <si>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</si>
  <si>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</si>
  <si>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</si>
  <si>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</si>
  <si>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</si>
  <si>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</si>
  <si>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</si>
  <si>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</si>
  <si>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</si>
  <si>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</si>
  <si>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</si>
  <si>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</si>
  <si>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</si>
  <si>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</si>
  <si>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</si>
  <si>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</si>
  <si>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</si>
  <si>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</si>
  <si>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</si>
  <si>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</si>
  <si>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</si>
  <si>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</si>
  <si>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</si>
  <si>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</si>
  <si>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</si>
  <si>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</si>
  <si>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</si>
  <si>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</si>
  <si>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</si>
  <si>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</si>
  <si>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</si>
  <si>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</si>
  <si>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</si>
  <si>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</si>
  <si>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</si>
  <si>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</si>
  <si>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</si>
  <si>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</si>
  <si>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</si>
  <si>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</si>
  <si>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</si>
  <si>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</si>
  <si>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</si>
  <si>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</si>
  <si>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</si>
  <si>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</si>
  <si>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</si>
  <si>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</si>
  <si>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</si>
  <si>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</si>
  <si>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</si>
  <si>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</si>
  <si>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</si>
  <si>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</si>
  <si>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</si>
  <si>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</si>
  <si>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</si>
  <si>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</si>
  <si>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</si>
  <si>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</si>
  <si>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</si>
  <si>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</si>
  <si>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</si>
  <si>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</si>
  <si>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</si>
  <si>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</si>
  <si>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</si>
  <si>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</si>
  <si>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</si>
  <si>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</si>
  <si>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</si>
  <si>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</si>
  <si>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</si>
  <si>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</si>
  <si>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</si>
  <si>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</si>
  <si>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</si>
  <si>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</si>
  <si>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</si>
  <si>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</si>
  <si>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</si>
  <si>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</si>
  <si>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</si>
  <si>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</si>
  <si>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</si>
  <si>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</si>
  <si>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</si>
  <si>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</si>
  <si>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</si>
  <si>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</si>
  <si>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</si>
  <si>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</si>
  <si>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</si>
  <si>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</si>
  <si>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</si>
  <si>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</si>
  <si>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</si>
  <si>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</si>
  <si>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</si>
  <si>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</si>
  <si>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</si>
  <si>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</si>
  <si>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</si>
  <si>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</si>
  <si>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</si>
  <si>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</si>
  <si>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</si>
  <si>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</si>
  <si>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</si>
  <si>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</si>
  <si>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</si>
  <si>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</si>
  <si>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</si>
  <si>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</si>
  <si>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</si>
  <si>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</si>
  <si>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</si>
  <si>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</si>
  <si>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</si>
  <si>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</si>
  <si>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</si>
  <si>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</si>
  <si>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</si>
  <si>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</si>
  <si>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</si>
  <si>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</si>
  <si>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</si>
  <si>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</si>
  <si>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</si>
  <si>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</si>
  <si>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</si>
  <si>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</si>
  <si>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</si>
  <si>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</si>
  <si>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</si>
  <si>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</si>
  <si>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</si>
  <si>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</si>
  <si>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</si>
  <si>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</si>
  <si>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</si>
  <si>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</si>
  <si>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</si>
  <si>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</si>
  <si>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</si>
  <si>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</si>
  <si>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</si>
  <si>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</si>
  <si>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</si>
  <si>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</si>
  <si>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</si>
  <si>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</si>
  <si>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</si>
  <si>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</si>
  <si>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</si>
  <si>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</si>
  <si>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</si>
  <si>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</si>
  <si>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</si>
  <si>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</si>
  <si>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</si>
  <si>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</si>
  <si>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</si>
  <si>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</si>
  <si>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</si>
  <si>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</si>
  <si>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</si>
  <si>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</si>
  <si>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</si>
  <si>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</si>
  <si>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</si>
  <si>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</si>
  <si>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</si>
  <si>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</si>
  <si>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</si>
  <si>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</si>
  <si>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</si>
  <si>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</si>
  <si>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</si>
  <si>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</si>
  <si>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</si>
  <si>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</si>
  <si>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</si>
  <si>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</si>
  <si>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</si>
  <si>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</si>
  <si>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</si>
  <si>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</si>
  <si>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</si>
  <si>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</si>
  <si>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</si>
  <si>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</si>
  <si>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</si>
  <si>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</si>
  <si>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</si>
  <si>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</si>
  <si>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</si>
  <si>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</si>
  <si>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</si>
  <si>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</si>
  <si>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</si>
  <si>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</si>
  <si>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</si>
  <si>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</si>
  <si>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</si>
  <si>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</si>
  <si>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</si>
  <si>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</si>
  <si>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</si>
  <si>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</si>
  <si>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</si>
  <si>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</si>
  <si>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</si>
  <si>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</si>
  <si>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</si>
  <si>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</si>
  <si>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</si>
  <si>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</si>
  <si>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</si>
  <si>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</si>
  <si>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</si>
  <si>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</si>
  <si>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</si>
  <si>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</si>
  <si>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</si>
  <si>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</si>
  <si>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</si>
  <si>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</si>
  <si>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</si>
  <si>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</si>
  <si>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</si>
  <si>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</si>
  <si>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</si>
  <si>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</si>
  <si>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</si>
  <si>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</si>
  <si>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</si>
  <si>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</si>
  <si>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</si>
  <si>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</si>
  <si>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</si>
  <si>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</si>
  <si>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</si>
  <si>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</si>
  <si>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</si>
  <si>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</si>
  <si>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</si>
  <si>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</si>
  <si>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</si>
  <si>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</si>
  <si>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</si>
  <si>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</si>
  <si>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</si>
  <si>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</si>
  <si>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</si>
  <si>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</si>
  <si>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</si>
  <si>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</si>
  <si>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</si>
  <si>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</si>
  <si>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</si>
  <si>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</si>
  <si>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</si>
  <si>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</si>
  <si>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</si>
  <si>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</si>
  <si>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</si>
  <si>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</si>
  <si>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</si>
  <si>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</si>
  <si>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</si>
  <si>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</si>
  <si>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</si>
  <si>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</si>
  <si>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</si>
  <si>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</si>
  <si>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</si>
  <si>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</si>
  <si>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</si>
  <si>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</si>
  <si>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</si>
  <si>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</si>
  <si>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</si>
  <si>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</si>
  <si>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</si>
  <si>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</si>
  <si>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</si>
  <si>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</si>
  <si>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</si>
  <si>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</si>
  <si>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</si>
  <si>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</si>
  <si>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</si>
  <si>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</si>
  <si>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</si>
  <si>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</si>
  <si>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</si>
  <si>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</si>
  <si>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</si>
  <si>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</si>
  <si>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</si>
  <si>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</si>
  <si>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</si>
  <si>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</si>
  <si>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</si>
  <si>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</si>
  <si>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</si>
  <si>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</si>
  <si>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</si>
  <si>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</si>
  <si>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</si>
  <si>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</si>
  <si>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</si>
  <si>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</si>
  <si>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</si>
  <si>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</si>
  <si>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</si>
  <si>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</si>
  <si>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</si>
  <si>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</si>
  <si>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</si>
  <si>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</si>
  <si>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</si>
  <si>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</si>
  <si>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</si>
  <si>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</si>
  <si>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</si>
  <si>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</si>
  <si>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</si>
  <si>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</si>
  <si>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</si>
  <si>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</si>
  <si>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</si>
  <si>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</si>
  <si>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</si>
  <si>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</si>
  <si>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</si>
  <si>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</si>
  <si>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</si>
  <si>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</si>
  <si>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</si>
  <si>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</si>
  <si>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</si>
  <si>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</si>
  <si>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</si>
  <si>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</si>
  <si>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</si>
  <si>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</si>
  <si>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</si>
  <si>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</si>
  <si>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</si>
  <si>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</si>
  <si>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</si>
  <si>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</si>
  <si>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</si>
  <si>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</si>
  <si>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</si>
  <si>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</si>
  <si>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</si>
  <si>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</si>
  <si>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</si>
  <si>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</si>
  <si>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</si>
  <si>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</si>
  <si>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</si>
  <si>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</si>
  <si>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</si>
  <si>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</si>
  <si>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</si>
  <si>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</si>
  <si>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</si>
  <si>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</si>
  <si>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</si>
  <si>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</si>
  <si>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</si>
  <si>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</si>
  <si>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</si>
  <si>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</si>
  <si>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</si>
  <si>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</si>
  <si>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</si>
  <si>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</si>
  <si>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</si>
  <si>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</si>
  <si>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</si>
  <si>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</si>
  <si>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</si>
  <si>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</si>
  <si>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</si>
  <si>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</si>
  <si>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</si>
  <si>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</si>
  <si>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</si>
  <si>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</si>
  <si>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</si>
  <si>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</si>
  <si>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</si>
  <si>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</si>
  <si>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</si>
  <si>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</si>
  <si>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</si>
  <si>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</si>
  <si>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</si>
  <si>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</si>
  <si>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</si>
  <si>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</si>
  <si>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</si>
  <si>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</si>
  <si>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</si>
  <si>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</si>
  <si>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</si>
  <si>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</si>
  <si>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</si>
  <si>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</si>
  <si>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</si>
  <si>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</si>
  <si>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</si>
  <si>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</si>
  <si>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</si>
  <si>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</si>
  <si>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</si>
  <si>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</si>
  <si>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</si>
  <si>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</si>
  <si>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</si>
  <si>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</si>
  <si>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</si>
  <si>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</si>
  <si>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</si>
  <si>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</si>
  <si>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</si>
  <si>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</si>
  <si>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</si>
  <si>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</si>
  <si>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</si>
  <si>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</si>
  <si>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</si>
  <si>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</si>
  <si>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</si>
  <si>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</si>
  <si>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</si>
  <si>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</si>
  <si>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</si>
  <si>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</si>
  <si>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</si>
  <si>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</si>
  <si>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</si>
  <si>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</si>
  <si>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</si>
  <si>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</si>
  <si>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</si>
  <si>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</si>
  <si>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</si>
  <si>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</si>
  <si>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</si>
  <si>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</si>
  <si>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</si>
  <si>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</si>
  <si>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</si>
  <si>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</si>
  <si>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</si>
  <si>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</si>
  <si>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</si>
  <si>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</si>
  <si>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</si>
  <si>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</si>
  <si>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</si>
  <si>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</si>
  <si>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</si>
  <si>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</si>
  <si>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</si>
  <si>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</si>
  <si>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</si>
  <si>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</si>
  <si>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</si>
  <si>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</si>
  <si>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</si>
  <si>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</si>
  <si>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</si>
  <si>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</si>
  <si>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</si>
  <si>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</si>
  <si>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</si>
  <si>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</si>
  <si>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</si>
  <si>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</si>
  <si>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</si>
  <si>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</si>
  <si>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</si>
  <si>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</si>
  <si>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</si>
  <si>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</si>
  <si>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</si>
  <si>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</si>
  <si>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</si>
  <si>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</si>
  <si>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</si>
  <si>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</si>
  <si>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</si>
  <si>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</si>
  <si>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</si>
  <si>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</si>
  <si>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</si>
  <si>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</si>
  <si>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</si>
  <si>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</si>
  <si>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</si>
  <si>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</si>
  <si>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</si>
  <si>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</si>
  <si>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</si>
  <si>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</si>
  <si>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</si>
  <si>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</si>
  <si>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</si>
  <si>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</si>
  <si>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</si>
  <si>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</si>
  <si>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</si>
  <si>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</si>
  <si>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</si>
  <si>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</si>
  <si>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</si>
  <si>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</si>
  <si>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</si>
  <si>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</si>
  <si>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</si>
  <si>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</si>
  <si>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</si>
  <si>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</si>
  <si>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</si>
  <si>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</si>
  <si>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</si>
  <si>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</si>
  <si>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</si>
  <si>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</si>
  <si>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</si>
  <si>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</si>
  <si>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</si>
  <si>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</si>
  <si>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</si>
  <si>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</si>
  <si>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</si>
  <si>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</si>
  <si>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</si>
  <si>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</si>
  <si>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</si>
  <si>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</si>
  <si>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</si>
  <si>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</si>
  <si>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</si>
  <si>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</si>
  <si>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</si>
  <si>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</si>
  <si>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</si>
  <si>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</si>
  <si>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</si>
  <si>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</si>
  <si>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</si>
  <si>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</si>
  <si>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</si>
  <si>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</si>
  <si>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</si>
  <si>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</si>
  <si>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</si>
  <si>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</si>
  <si>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</si>
  <si>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</si>
  <si>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</si>
  <si>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</si>
  <si>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</si>
  <si>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</si>
  <si>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</si>
  <si>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</si>
  <si>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</si>
  <si>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</si>
  <si>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</si>
  <si>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</si>
  <si>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</si>
  <si>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</si>
  <si>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</si>
  <si>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</si>
  <si>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</si>
  <si>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</si>
  <si>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</si>
  <si>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</si>
  <si>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</si>
  <si>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</si>
  <si>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</si>
  <si>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</si>
  <si>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</si>
  <si>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</si>
  <si>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</si>
  <si>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</si>
  <si>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</si>
  <si>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</si>
  <si>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</si>
  <si>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</si>
  <si>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</si>
  <si>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</si>
  <si>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</si>
  <si>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</si>
  <si>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</si>
  <si>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</si>
  <si>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</si>
  <si>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</si>
  <si>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</si>
  <si>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</si>
  <si>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</si>
  <si>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</si>
  <si>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</si>
  <si>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</si>
  <si>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</si>
  <si>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</si>
  <si>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</si>
  <si>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</si>
  <si>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</si>
  <si>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</si>
  <si>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</si>
  <si>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</si>
  <si>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</si>
  <si>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</si>
  <si>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</si>
  <si>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</si>
  <si>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</si>
  <si>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</si>
  <si>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</si>
  <si>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</si>
  <si>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</si>
  <si>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</si>
  <si>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</si>
  <si>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</si>
  <si>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</si>
  <si>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</si>
  <si>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</si>
  <si>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</si>
  <si>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</si>
  <si>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</si>
  <si>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</si>
  <si>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</si>
  <si>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</si>
  <si>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</si>
  <si>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</si>
  <si>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</si>
  <si>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</si>
  <si>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</si>
  <si>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</si>
  <si>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</si>
  <si>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</si>
  <si>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</si>
  <si>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</si>
  <si>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</si>
  <si>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</si>
  <si>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</si>
  <si>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</si>
  <si>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</si>
  <si>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</si>
  <si>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</si>
  <si>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</si>
  <si>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</si>
  <si>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</si>
  <si>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</si>
  <si>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</si>
  <si>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</si>
  <si>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</si>
  <si>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</si>
  <si>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</si>
  <si>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</si>
  <si>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</si>
  <si>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</si>
  <si>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</si>
  <si>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</si>
  <si>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</si>
  <si>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</si>
  <si>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</si>
  <si>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</si>
  <si>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</si>
  <si>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</si>
  <si>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</si>
  <si>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</si>
  <si>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</si>
  <si>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</si>
  <si>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</si>
  <si>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</si>
  <si>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</si>
  <si>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</si>
  <si>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</si>
  <si>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</si>
  <si>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</si>
  <si>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</si>
  <si>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</si>
  <si>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</si>
  <si>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</si>
  <si>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</si>
  <si>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</si>
  <si>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</si>
  <si>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</si>
  <si>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</si>
  <si>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</si>
  <si>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</si>
  <si>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</si>
  <si>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</si>
  <si>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</si>
  <si>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</si>
  <si>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</si>
  <si>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</si>
  <si>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</si>
  <si>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</si>
  <si>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</si>
  <si>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</si>
  <si>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</si>
  <si>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</si>
  <si>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</si>
  <si>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</si>
  <si>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</si>
  <si>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</si>
  <si>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</si>
  <si>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</si>
  <si>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</si>
  <si>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</si>
  <si>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</si>
  <si>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</si>
  <si>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</si>
  <si>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</si>
  <si>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</si>
  <si>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</si>
  <si>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</si>
  <si>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</si>
  <si>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</si>
  <si>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</si>
  <si>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</si>
  <si>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</si>
  <si>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</si>
  <si>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</si>
  <si>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</si>
  <si>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</si>
  <si>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</si>
  <si>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</si>
  <si>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</si>
  <si>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</si>
  <si>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</si>
  <si>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</si>
  <si>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</si>
  <si>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</si>
  <si>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</si>
  <si>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</si>
  <si>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</si>
  <si>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</si>
  <si>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</si>
  <si>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</si>
  <si>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</si>
  <si>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</si>
  <si>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</si>
  <si>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</si>
  <si>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</si>
  <si>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</si>
  <si>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</si>
  <si>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</si>
  <si>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</si>
  <si>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</si>
  <si>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</si>
  <si>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</si>
  <si>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</si>
  <si>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</si>
  <si>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</si>
  <si>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</si>
  <si>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</si>
  <si>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</si>
  <si>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</si>
  <si>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</si>
  <si>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</si>
  <si>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</si>
  <si>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</si>
  <si>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</si>
  <si>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</si>
  <si>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</si>
  <si>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</si>
  <si>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</si>
  <si>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</si>
  <si>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</si>
  <si>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</si>
  <si>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</si>
  <si>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</si>
  <si>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</si>
  <si>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</si>
  <si>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</si>
  <si>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</si>
  <si>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</si>
  <si>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</si>
  <si>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</si>
  <si>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</si>
  <si>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</si>
  <si>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</si>
  <si>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</si>
  <si>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</si>
  <si>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</si>
  <si>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</si>
  <si>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</si>
  <si>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</si>
  <si>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</si>
  <si>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</si>
  <si>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</si>
  <si>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</si>
  <si>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</si>
  <si>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</si>
  <si>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</si>
  <si>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</si>
  <si>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</si>
  <si>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</si>
  <si>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</si>
  <si>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</si>
  <si>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</si>
  <si>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</si>
  <si>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</si>
  <si>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</si>
  <si>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</si>
  <si>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</si>
  <si>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</si>
  <si>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</si>
  <si>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</si>
  <si>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</si>
  <si>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</si>
  <si>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</si>
  <si>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</si>
  <si>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</si>
  <si>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</si>
  <si>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</si>
  <si>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</si>
  <si>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</si>
  <si>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</si>
  <si>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</si>
  <si>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</si>
  <si>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</si>
  <si>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</si>
  <si>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</si>
  <si>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</si>
  <si>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</si>
  <si>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</si>
  <si>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</si>
  <si>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</si>
  <si>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</si>
  <si>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</si>
  <si>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</si>
  <si>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</si>
  <si>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</si>
  <si>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</si>
  <si>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</si>
  <si>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</si>
  <si>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</si>
  <si>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</si>
  <si>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</si>
  <si>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</si>
  <si>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</si>
  <si>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</si>
  <si>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</si>
  <si>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</si>
  <si>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</si>
  <si>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</si>
  <si>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</si>
  <si>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</si>
  <si>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</si>
  <si>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</si>
  <si>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</si>
  <si>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</si>
  <si>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</si>
  <si>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</si>
  <si>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</si>
  <si>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</si>
  <si>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</si>
  <si>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</si>
  <si>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</si>
  <si>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</si>
  <si>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</si>
  <si>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</si>
  <si>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</si>
  <si>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</si>
  <si>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</si>
  <si>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</si>
  <si>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</si>
  <si>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</si>
  <si>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</si>
  <si>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</si>
  <si>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</si>
  <si>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</si>
  <si>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</si>
  <si>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</si>
  <si>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</si>
  <si>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</si>
  <si>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</si>
  <si>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</si>
  <si>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</si>
  <si>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</si>
  <si>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</si>
  <si>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</si>
  <si>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</si>
  <si>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</si>
  <si>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</si>
  <si>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</si>
  <si>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</si>
  <si>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</si>
  <si>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</si>
  <si>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</si>
  <si>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</si>
  <si>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</si>
  <si>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</si>
  <si>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</si>
  <si>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</si>
  <si>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</si>
  <si>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</si>
  <si>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</si>
  <si>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</si>
  <si>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</si>
  <si>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</si>
  <si>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</si>
  <si>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</si>
  <si>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</si>
  <si>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</si>
  <si>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</si>
  <si>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</si>
  <si>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</si>
  <si>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</si>
  <si>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</si>
  <si>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</si>
  <si>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</si>
  <si>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</si>
  <si>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</si>
  <si>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</si>
  <si>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</si>
  <si>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</si>
  <si>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</si>
  <si>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</si>
  <si>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</si>
  <si>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</si>
  <si>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</si>
  <si>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</si>
  <si>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</si>
  <si>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</si>
  <si>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</si>
  <si>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</si>
  <si>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</si>
  <si>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</si>
  <si>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</si>
  <si>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</si>
  <si>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</si>
  <si>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</si>
  <si>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</si>
  <si>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</si>
  <si>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</si>
  <si>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</si>
  <si>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</si>
  <si>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</si>
  <si>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</si>
  <si>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</si>
  <si>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</si>
  <si>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</si>
  <si>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</si>
  <si>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</si>
  <si>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</si>
  <si>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</si>
  <si>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</si>
  <si>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</si>
  <si>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</si>
  <si>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</si>
  <si>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</si>
  <si>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</si>
  <si>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</si>
  <si>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</si>
  <si>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</si>
  <si>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</si>
  <si>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</si>
  <si>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</si>
  <si>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</si>
  <si>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</si>
  <si>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</si>
  <si>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</si>
  <si>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</si>
  <si>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</si>
  <si>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</si>
  <si>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</si>
  <si>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</si>
  <si>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</si>
  <si>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</si>
  <si>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</si>
  <si>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</si>
  <si>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</si>
  <si>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</si>
  <si>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</si>
  <si>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</si>
  <si>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</si>
  <si>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</si>
  <si>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</si>
  <si>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</si>
  <si>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</si>
  <si>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</si>
  <si>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</si>
  <si>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</si>
  <si>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</si>
  <si>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</si>
  <si>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</si>
  <si>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</si>
  <si>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</si>
  <si>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</si>
  <si>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</si>
  <si>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</si>
  <si>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</si>
  <si>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</si>
  <si>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</si>
  <si>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</si>
  <si>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</si>
  <si>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</si>
  <si>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</si>
  <si>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</si>
  <si>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</si>
  <si>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</si>
  <si>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</si>
  <si>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</si>
  <si>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</si>
  <si>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</si>
  <si>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</si>
  <si>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</si>
  <si>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</si>
  <si>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</si>
  <si>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</si>
  <si>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</si>
  <si>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</si>
  <si>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</si>
  <si>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</si>
  <si>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</si>
  <si>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</si>
  <si>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</si>
  <si>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</si>
  <si>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</si>
  <si>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</si>
  <si>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</si>
  <si>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</si>
  <si>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</si>
  <si>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</si>
  <si>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</si>
  <si>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</si>
  <si>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</si>
  <si>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</si>
  <si>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</si>
  <si>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</si>
  <si>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</si>
  <si>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</si>
  <si>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</si>
  <si>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</si>
  <si>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</si>
  <si>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</si>
  <si>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</si>
  <si>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</si>
  <si>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</si>
  <si>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</si>
  <si>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</si>
  <si>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</si>
  <si>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</si>
  <si>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</si>
  <si>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</si>
  <si>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</si>
  <si>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</si>
  <si>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</si>
  <si>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</si>
  <si>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</si>
  <si>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</si>
  <si>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</si>
  <si>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</si>
  <si>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</si>
  <si>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</si>
  <si>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</si>
  <si>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</si>
  <si>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</si>
  <si>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</si>
  <si>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</si>
  <si>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</si>
  <si>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</si>
  <si>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</si>
  <si>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</si>
  <si>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</si>
  <si>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</si>
  <si>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</si>
  <si>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</si>
  <si>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</si>
  <si>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</si>
  <si>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</si>
  <si>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</si>
  <si>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</si>
  <si>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</si>
  <si>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</si>
  <si>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</si>
  <si>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</si>
  <si>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</si>
  <si>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</si>
  <si>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</si>
  <si>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</si>
  <si>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</si>
  <si>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</si>
  <si>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</si>
  <si>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</si>
  <si>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</si>
  <si>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</si>
  <si>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</si>
  <si>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</si>
  <si>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</si>
  <si>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</si>
  <si>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</si>
  <si>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</si>
  <si>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</si>
  <si>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</si>
  <si>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</si>
  <si>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</si>
  <si>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</si>
  <si>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</si>
  <si>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</si>
  <si>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</si>
  <si>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</si>
  <si>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</si>
  <si>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</si>
  <si>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</si>
  <si>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</si>
  <si>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</si>
  <si>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</si>
  <si>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</si>
  <si>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</si>
  <si>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</si>
  <si>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</si>
  <si>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</si>
  <si>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</si>
  <si>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</si>
  <si>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</si>
  <si>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</si>
  <si>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</si>
  <si>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</si>
  <si>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</si>
  <si>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</si>
  <si>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</si>
  <si>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</si>
  <si>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</si>
  <si>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</si>
  <si>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</si>
  <si>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</si>
  <si>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</si>
  <si>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</si>
  <si>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</si>
  <si>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</si>
  <si>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</si>
  <si>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</si>
  <si>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</si>
  <si>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</si>
  <si>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</si>
  <si>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</si>
  <si>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</si>
  <si>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</si>
  <si>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</si>
  <si>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</si>
  <si>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</si>
  <si>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</si>
  <si>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</si>
  <si>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</si>
  <si>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</si>
  <si>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</si>
  <si>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</si>
  <si>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</si>
  <si>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</si>
  <si>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</si>
  <si>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</si>
  <si>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</si>
  <si>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</si>
  <si>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</si>
  <si>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</si>
  <si>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</si>
  <si>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</si>
  <si>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</si>
  <si>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</si>
  <si>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</si>
  <si>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</si>
  <si>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</si>
  <si>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</si>
  <si>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</si>
  <si>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</si>
  <si>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</si>
  <si>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</si>
  <si>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</si>
  <si>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</si>
  <si>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</si>
  <si>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</si>
  <si>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</si>
  <si>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</si>
  <si>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</si>
  <si>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</si>
  <si>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</si>
  <si>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</si>
  <si>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</si>
  <si>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</si>
  <si>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</si>
  <si>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</si>
  <si>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</si>
  <si>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</si>
  <si>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</si>
  <si>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</si>
  <si>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</si>
  <si>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</si>
  <si>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</si>
  <si>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</si>
  <si>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</si>
  <si>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</si>
  <si>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</si>
  <si>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</si>
  <si>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</si>
  <si>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</si>
  <si>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</si>
  <si>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</si>
  <si>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</si>
  <si>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</si>
  <si>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</si>
  <si>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</si>
  <si>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</si>
  <si>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</si>
  <si>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</si>
  <si>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</si>
  <si>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</si>
  <si>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</si>
  <si>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</si>
  <si>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</si>
  <si>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</si>
  <si>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</si>
  <si>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</si>
  <si>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</si>
  <si>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</si>
  <si>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</si>
  <si>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</si>
  <si>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</si>
  <si>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</si>
  <si>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</si>
  <si>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</si>
  <si>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</si>
  <si>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</si>
  <si>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</si>
  <si>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</si>
  <si>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</si>
  <si>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</si>
  <si>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</si>
  <si>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</si>
  <si>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</si>
  <si>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</si>
  <si>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</si>
  <si>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</si>
  <si>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</si>
  <si>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</si>
  <si>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</si>
  <si>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</si>
  <si>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</si>
  <si>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</si>
  <si>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</si>
  <si>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</si>
  <si>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</si>
  <si>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</si>
  <si>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</si>
  <si>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</si>
  <si>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</si>
  <si>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</si>
  <si>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</si>
  <si>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</si>
  <si>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</si>
  <si>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</si>
  <si>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</si>
  <si>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</si>
  <si>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</si>
  <si>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</si>
  <si>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</si>
  <si>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</si>
  <si>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</si>
  <si>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</si>
  <si>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</si>
  <si>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</si>
  <si>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</si>
  <si>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</si>
  <si>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</si>
  <si>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</si>
  <si>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</si>
  <si>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</si>
  <si>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</si>
  <si>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</si>
  <si>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</si>
  <si>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</si>
  <si>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</si>
  <si>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</si>
  <si>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</si>
  <si>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</si>
  <si>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</si>
  <si>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</si>
  <si>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</si>
  <si>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</si>
  <si>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</si>
  <si>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</si>
  <si>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</si>
  <si>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</si>
  <si>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</si>
  <si>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</si>
  <si>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</si>
  <si>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</si>
  <si>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</si>
  <si>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</si>
  <si>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</si>
  <si>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</si>
  <si>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</si>
  <si>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</si>
  <si>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</si>
  <si>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</si>
  <si>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</si>
  <si>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</si>
  <si>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</si>
  <si>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</si>
  <si>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</si>
  <si>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</si>
  <si>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</si>
  <si>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</si>
  <si>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</si>
  <si>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</si>
  <si>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</si>
  <si>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</si>
  <si>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</si>
  <si>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</si>
  <si>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</si>
  <si>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</si>
  <si>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</si>
  <si>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</si>
  <si>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</si>
  <si>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</si>
  <si>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</si>
  <si>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</si>
  <si>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</si>
  <si>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</si>
  <si>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</si>
  <si>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</si>
  <si>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</si>
  <si>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</si>
  <si>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</si>
  <si>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</si>
  <si>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</si>
  <si>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</si>
  <si>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</si>
  <si>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</si>
  <si>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</si>
  <si>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</si>
  <si>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</si>
  <si>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</si>
  <si>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</si>
  <si>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</si>
  <si>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</si>
  <si>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</si>
  <si>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</si>
  <si>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</si>
  <si>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</si>
  <si>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</si>
  <si>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</si>
  <si>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</si>
  <si>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</si>
  <si>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</si>
  <si>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</si>
  <si>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</si>
  <si>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</si>
  <si>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</si>
  <si>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</si>
  <si>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</si>
  <si>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</si>
  <si>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</si>
  <si>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</si>
  <si>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</si>
  <si>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</si>
  <si>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</si>
  <si>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</si>
  <si>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</si>
  <si>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</si>
  <si>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</si>
  <si>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</si>
  <si>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</si>
  <si>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</si>
  <si>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</si>
  <si>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</si>
  <si>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</si>
  <si>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</si>
  <si>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</si>
  <si>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</si>
  <si>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</si>
  <si>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</si>
  <si>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</si>
  <si>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</si>
  <si>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</si>
  <si>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</si>
  <si>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</si>
  <si>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</si>
  <si>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</si>
  <si>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</si>
  <si>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</si>
  <si>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</si>
  <si>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</si>
  <si>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</si>
  <si>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</si>
  <si>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</si>
  <si>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</si>
  <si>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</si>
  <si>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</si>
  <si>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</si>
  <si>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</si>
  <si>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</si>
  <si>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</si>
  <si>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</si>
  <si>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</si>
  <si>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</si>
  <si>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</si>
  <si>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</si>
  <si>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</si>
  <si>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</si>
  <si>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</si>
  <si>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</si>
  <si>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</si>
  <si>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</si>
  <si>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</si>
  <si>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</si>
  <si>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</si>
  <si>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</si>
  <si>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</si>
  <si>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</si>
  <si>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</si>
  <si>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</si>
  <si>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</si>
  <si>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</si>
  <si>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</si>
  <si>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</si>
  <si>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</si>
  <si>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</si>
  <si>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</si>
  <si>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</si>
  <si>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</si>
  <si>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</si>
  <si>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</si>
  <si>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</si>
  <si>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</si>
  <si>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</si>
  <si>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</si>
  <si>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</si>
  <si>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</si>
  <si>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</si>
  <si>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</si>
  <si>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</si>
  <si>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</si>
  <si>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</si>
  <si>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</si>
  <si>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</si>
  <si>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</si>
  <si>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</si>
  <si>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</si>
  <si>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</si>
  <si>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</si>
  <si>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</si>
  <si>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</si>
  <si>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</si>
  <si>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</si>
  <si>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</si>
  <si>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</si>
  <si>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</si>
  <si>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</si>
  <si>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</si>
  <si>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</si>
  <si>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</si>
  <si>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</si>
  <si>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</si>
  <si>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</si>
  <si>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</si>
  <si>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</si>
  <si>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</si>
  <si>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</si>
  <si>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</si>
  <si>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</si>
  <si>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</si>
  <si>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</si>
  <si>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</si>
  <si>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</si>
  <si>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</si>
  <si>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</si>
  <si>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</si>
  <si>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</si>
  <si>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</si>
  <si>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</si>
  <si>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</si>
  <si>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</si>
  <si>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</si>
  <si>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</si>
  <si>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</si>
  <si>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</si>
  <si>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</si>
  <si>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</si>
  <si>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</si>
  <si>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</si>
  <si>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</si>
  <si>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</si>
  <si>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</si>
  <si>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</si>
  <si>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</si>
  <si>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</si>
  <si>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</si>
  <si>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</si>
  <si>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</si>
  <si>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</si>
  <si>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</si>
  <si>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</si>
  <si>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</si>
  <si>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</si>
  <si>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</si>
  <si>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</si>
  <si>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</si>
  <si>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</si>
  <si>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</si>
  <si>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</si>
  <si>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</si>
  <si>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</si>
  <si>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</si>
  <si>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</si>
  <si>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</si>
  <si>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</si>
  <si>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</si>
  <si>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</si>
  <si>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</si>
  <si>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</si>
  <si>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</si>
  <si>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</si>
  <si>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</si>
  <si>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</si>
  <si>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</si>
  <si>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</si>
  <si>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</si>
  <si>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</si>
  <si>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</si>
  <si>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</si>
  <si>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</si>
  <si>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</si>
  <si>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</si>
  <si>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</si>
  <si>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</si>
  <si>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</si>
  <si>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</si>
  <si>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</si>
  <si>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</si>
  <si>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</si>
  <si>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</si>
  <si>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</si>
  <si>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</si>
  <si>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</si>
  <si>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</si>
  <si>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</si>
  <si>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</si>
  <si>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</si>
  <si>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</si>
  <si>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</si>
  <si>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</si>
  <si>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</si>
  <si>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</si>
  <si>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</si>
  <si>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</si>
  <si>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</si>
  <si>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</si>
  <si>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</si>
  <si>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</si>
  <si>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</si>
  <si>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</si>
  <si>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</si>
  <si>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</si>
  <si>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</si>
  <si>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</si>
  <si>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</si>
  <si>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</si>
  <si>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</si>
  <si>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</si>
  <si>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</si>
  <si>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</si>
  <si>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</si>
  <si>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</si>
  <si>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</si>
  <si>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</si>
  <si>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</si>
  <si>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</si>
  <si>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</si>
  <si>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</si>
  <si>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</si>
  <si>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</si>
  <si>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</si>
  <si>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</si>
  <si>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</si>
  <si>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</si>
  <si>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</si>
  <si>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</si>
  <si>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</si>
  <si>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</si>
  <si>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</si>
  <si>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</si>
  <si>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</si>
  <si>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</si>
  <si>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</si>
  <si>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</si>
  <si>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</si>
  <si>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</si>
  <si>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</si>
  <si>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</si>
  <si>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</si>
  <si>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</si>
  <si>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</si>
  <si>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</si>
  <si>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</si>
  <si>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</si>
  <si>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</si>
  <si>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</si>
  <si>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</si>
  <si>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</si>
  <si>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</si>
  <si>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</si>
  <si>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</si>
  <si>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</si>
  <si>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</si>
  <si>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</si>
  <si>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</si>
  <si>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</si>
  <si>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</si>
  <si>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</si>
  <si>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</si>
  <si>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</si>
  <si>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</si>
  <si>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</si>
  <si>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</si>
  <si>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</si>
  <si>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</si>
  <si>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</si>
  <si>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</si>
  <si>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</si>
  <si>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</si>
  <si>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</si>
  <si>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</si>
  <si>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</si>
  <si>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</si>
  <si>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</si>
  <si>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</si>
  <si>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</si>
  <si>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</si>
  <si>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</si>
  <si>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</si>
  <si>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</si>
  <si>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</si>
  <si>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</si>
  <si>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</si>
  <si>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</si>
  <si>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</si>
  <si>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</si>
  <si>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</si>
  <si>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</si>
  <si>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</si>
  <si>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</si>
  <si>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</si>
  <si>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</si>
  <si>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</si>
  <si>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</si>
  <si>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</si>
  <si>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</si>
  <si>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</si>
  <si>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</si>
  <si>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</si>
  <si>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</si>
  <si>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</si>
  <si>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</si>
  <si>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</si>
  <si>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</si>
  <si>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</si>
  <si>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</si>
  <si>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</si>
  <si>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</si>
  <si>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</si>
  <si>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</si>
  <si>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</si>
  <si>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</si>
  <si>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</si>
  <si>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</si>
  <si>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</si>
  <si>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</si>
  <si>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</si>
  <si>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</si>
  <si>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</si>
  <si>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</si>
  <si>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</si>
  <si>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</si>
  <si>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</si>
  <si>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</si>
  <si>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</si>
  <si>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</si>
  <si>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</si>
  <si>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</si>
  <si>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</si>
  <si>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</si>
  <si>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</si>
  <si>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</si>
  <si>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</si>
  <si>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</si>
  <si>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</si>
  <si>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</si>
  <si>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</si>
  <si>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</si>
  <si>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</si>
  <si>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</si>
  <si>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</si>
  <si>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</si>
  <si>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</si>
  <si>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</si>
  <si>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</si>
  <si>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</si>
  <si>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</si>
  <si>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</si>
  <si>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</si>
  <si>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</si>
  <si>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</si>
  <si>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</si>
  <si>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</si>
  <si>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</si>
  <si>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</si>
  <si>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</si>
  <si>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</si>
  <si>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</si>
  <si>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</si>
  <si>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</si>
  <si>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</si>
  <si>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</si>
  <si>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</si>
  <si>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</si>
  <si>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</si>
  <si>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</si>
  <si>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</si>
  <si>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</si>
  <si>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</si>
  <si>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</si>
  <si>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</si>
  <si>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</si>
  <si>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</si>
  <si>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</si>
  <si>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</si>
  <si>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</si>
  <si>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</si>
  <si>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</si>
  <si>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</si>
  <si>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</si>
  <si>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</si>
  <si>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</si>
  <si>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</si>
  <si>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</si>
  <si>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</si>
  <si>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</si>
  <si>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</si>
  <si>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</si>
  <si>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</si>
  <si>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</si>
  <si>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</si>
  <si>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</si>
  <si>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</si>
  <si>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</si>
  <si>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</si>
  <si>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</si>
  <si>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</si>
  <si>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</si>
  <si>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</si>
  <si>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</si>
  <si>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</si>
  <si>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</si>
  <si>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</si>
  <si>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</si>
  <si>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</si>
  <si>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</si>
  <si>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</si>
  <si>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</si>
  <si>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</si>
  <si>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</si>
  <si>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</si>
  <si>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</si>
  <si>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</si>
  <si>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</si>
  <si>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</si>
  <si>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</si>
  <si>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</si>
  <si>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</si>
  <si>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</si>
  <si>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</si>
  <si>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</si>
  <si>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</si>
  <si>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</si>
  <si>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</si>
  <si>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</si>
  <si>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</si>
  <si>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</si>
  <si>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</si>
  <si>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</si>
  <si>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</si>
  <si>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</si>
  <si>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</si>
  <si>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</si>
  <si>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</si>
  <si>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</si>
  <si>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</si>
  <si>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</si>
  <si>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</si>
  <si>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</si>
  <si>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</si>
  <si>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</si>
  <si>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</si>
  <si>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</si>
  <si>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</si>
  <si>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</si>
  <si>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</si>
  <si>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</si>
  <si>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</si>
  <si>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</si>
  <si>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</si>
  <si>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</si>
  <si>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</si>
  <si>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</si>
  <si>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</si>
  <si>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</si>
  <si>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</si>
  <si>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</si>
  <si>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</si>
  <si>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</si>
  <si>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</si>
  <si>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</si>
  <si>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</si>
  <si>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</si>
  <si>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</si>
  <si>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</si>
  <si>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</si>
  <si>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</si>
  <si>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</si>
  <si>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</si>
  <si>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</si>
  <si>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</si>
  <si>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</si>
  <si>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</si>
  <si>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</si>
  <si>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</si>
  <si>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</si>
  <si>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</si>
  <si>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</si>
  <si>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</si>
  <si>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</si>
  <si>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</si>
  <si>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</si>
  <si>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</si>
  <si>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</si>
  <si>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</si>
  <si>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</si>
  <si>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</si>
  <si>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</si>
  <si>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</si>
  <si>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</si>
  <si>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</si>
  <si>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</si>
  <si>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</si>
  <si>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</si>
  <si>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</si>
  <si>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</si>
  <si>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</si>
  <si>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</si>
  <si>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</si>
  <si>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</si>
  <si>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</si>
  <si>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</si>
  <si>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</si>
  <si>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</si>
  <si>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</si>
  <si>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</si>
  <si>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</si>
  <si>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</si>
  <si>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</si>
  <si>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</si>
  <si>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</si>
  <si>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</si>
  <si>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</si>
  <si>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</si>
  <si>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</si>
  <si>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</si>
  <si>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</si>
  <si>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</si>
  <si>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</si>
  <si>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</si>
  <si>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</si>
  <si>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</si>
  <si>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</si>
  <si>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</si>
  <si>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</si>
  <si>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</si>
  <si>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</si>
  <si>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</si>
  <si>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</si>
  <si>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</si>
  <si>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</si>
  <si>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</si>
  <si>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</si>
  <si>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</si>
  <si>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</si>
  <si>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</si>
  <si>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</si>
  <si>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</si>
  <si>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</si>
  <si>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</si>
  <si>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</si>
  <si>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</si>
  <si>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</si>
  <si>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</si>
  <si>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</si>
  <si>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</si>
  <si>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</si>
  <si>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</si>
  <si>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</si>
  <si>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</si>
  <si>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</si>
  <si>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</si>
  <si>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</si>
  <si>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</si>
  <si>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</si>
  <si>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</si>
  <si>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</si>
  <si>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</si>
  <si>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</si>
  <si>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</si>
  <si>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</si>
  <si>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</si>
  <si>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</si>
  <si>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</si>
  <si>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</si>
  <si>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</si>
  <si>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</si>
  <si>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</si>
  <si>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</si>
  <si>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</si>
  <si>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</si>
  <si>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</si>
  <si>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</si>
  <si>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</si>
  <si>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</si>
  <si>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</si>
  <si>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</si>
  <si>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</si>
  <si>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</si>
  <si>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</si>
  <si>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</si>
  <si>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</si>
  <si>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</si>
  <si>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</si>
  <si>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</si>
  <si>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</si>
  <si>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</si>
  <si>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</si>
  <si>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</si>
  <si>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</si>
  <si>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</si>
  <si>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</si>
  <si>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</si>
  <si>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</si>
  <si>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</si>
  <si>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</si>
  <si>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</si>
  <si>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</si>
  <si>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</si>
  <si>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</si>
  <si>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</si>
  <si>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</si>
  <si>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</si>
  <si>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</si>
  <si>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</si>
  <si>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</si>
  <si>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</si>
  <si>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</si>
  <si>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</si>
  <si>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</si>
  <si>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</si>
  <si>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</si>
  <si>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</si>
  <si>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</si>
  <si>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</si>
  <si>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</si>
  <si>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</si>
  <si>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</si>
  <si>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</si>
  <si>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</si>
  <si>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</si>
  <si>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</si>
  <si>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</si>
  <si>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</si>
  <si>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</si>
  <si>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</si>
  <si>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</si>
  <si>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</si>
  <si>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</si>
  <si>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</si>
  <si>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</si>
  <si>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</si>
  <si>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</si>
  <si>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</si>
  <si>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</si>
  <si>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</si>
  <si>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</si>
  <si>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</si>
  <si>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</si>
  <si>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</si>
  <si>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</si>
  <si>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</si>
  <si>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</si>
  <si>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</si>
  <si>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</si>
  <si>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</si>
  <si>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</si>
  <si>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</si>
  <si>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</si>
  <si>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</si>
  <si>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</si>
  <si>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</si>
  <si>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</si>
  <si>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</si>
  <si>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</si>
  <si>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</si>
  <si>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</si>
  <si>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</si>
  <si>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</si>
  <si>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</si>
  <si>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</si>
  <si>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</si>
  <si>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</si>
  <si>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</si>
  <si>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</si>
  <si>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</si>
  <si>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</si>
  <si>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</si>
  <si>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</si>
  <si>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</si>
  <si>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</si>
  <si>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</si>
  <si>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</si>
  <si>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</si>
  <si>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</si>
  <si>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</si>
  <si>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</si>
  <si>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</si>
  <si>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</si>
  <si>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</si>
  <si>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</si>
  <si>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</si>
  <si>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</si>
  <si>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</si>
  <si>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</si>
  <si>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</si>
  <si>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</si>
  <si>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</si>
  <si>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</si>
  <si>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</si>
  <si>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</si>
  <si>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</si>
  <si>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</si>
  <si>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</si>
  <si>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</si>
  <si>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</si>
  <si>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</si>
  <si>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</si>
  <si>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</si>
  <si>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</si>
  <si>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</si>
  <si>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</si>
  <si>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</si>
  <si>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</si>
  <si>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</si>
  <si>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</si>
  <si>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</si>
  <si>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</si>
  <si>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</si>
  <si>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</si>
  <si>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</si>
  <si>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</si>
  <si>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</si>
  <si>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</si>
  <si>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</si>
  <si>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</si>
  <si>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</si>
  <si>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</si>
  <si>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</si>
  <si>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</si>
  <si>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</si>
  <si>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</si>
  <si>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</si>
  <si>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</si>
  <si>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</si>
  <si>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</si>
  <si>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</si>
  <si>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</si>
  <si>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</si>
  <si>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</si>
  <si>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</si>
  <si>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</si>
  <si>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</si>
  <si>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</si>
  <si>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</si>
  <si>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</si>
  <si>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</si>
  <si>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</si>
  <si>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</si>
  <si>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</si>
  <si>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</si>
  <si>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</si>
  <si>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</si>
  <si>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</si>
  <si>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</si>
  <si>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</si>
  <si>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</si>
  <si>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</si>
  <si>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</si>
  <si>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</si>
  <si>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</si>
  <si>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</si>
  <si>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</si>
  <si>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</si>
  <si>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</si>
  <si>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</si>
  <si>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</si>
  <si>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</si>
  <si>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</si>
  <si>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</si>
  <si>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</si>
  <si>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</si>
  <si>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</si>
  <si>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</si>
  <si>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</si>
  <si>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</si>
  <si>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</si>
  <si>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</si>
  <si>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</si>
  <si>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</si>
  <si>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</si>
  <si>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</si>
  <si>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</si>
  <si>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</si>
  <si>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</si>
  <si>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</si>
  <si>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</si>
  <si>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</si>
  <si>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</si>
  <si>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</si>
  <si>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</si>
  <si>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</si>
  <si>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</si>
  <si>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</si>
  <si>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</si>
  <si>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</si>
  <si>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</si>
  <si>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</si>
  <si>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</si>
  <si>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</si>
  <si>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</si>
  <si>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</si>
  <si>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</si>
  <si>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</si>
  <si>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</si>
  <si>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</si>
  <si>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</si>
  <si>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</si>
  <si>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</si>
  <si>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</si>
  <si>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</si>
  <si>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</si>
  <si>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</si>
  <si>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</si>
  <si>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</si>
  <si>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</si>
  <si>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</si>
  <si>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</si>
  <si>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</si>
  <si>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</si>
  <si>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</si>
  <si>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</si>
  <si>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</si>
  <si>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</si>
  <si>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</si>
  <si>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</si>
  <si>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</si>
  <si>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</si>
  <si>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</si>
  <si>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</si>
  <si>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</si>
  <si>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</si>
  <si>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</si>
  <si>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</si>
  <si>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</si>
  <si>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</si>
  <si>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</si>
  <si>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</si>
  <si>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</si>
  <si>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</si>
  <si>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</si>
  <si>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</si>
  <si>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</si>
  <si>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</si>
  <si>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</si>
  <si>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</si>
  <si>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</si>
  <si>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</si>
  <si>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</si>
  <si>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</si>
  <si>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</si>
  <si>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</si>
  <si>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</si>
  <si>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</si>
  <si>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</si>
  <si>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</si>
  <si>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</si>
  <si>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</si>
  <si>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</si>
  <si>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</si>
  <si>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</si>
  <si>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</si>
  <si>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</si>
  <si>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</si>
  <si>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</si>
  <si>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</si>
  <si>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</si>
  <si>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</si>
  <si>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</si>
  <si>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</si>
  <si>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</si>
  <si>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</si>
  <si>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</si>
  <si>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</si>
  <si>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</si>
  <si>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</si>
  <si>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</si>
  <si>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</si>
  <si>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</si>
  <si>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</si>
  <si>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</si>
  <si>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</si>
  <si>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</si>
  <si>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</si>
  <si>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</si>
  <si>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</si>
  <si>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</si>
  <si>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</si>
  <si>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</si>
  <si>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</si>
  <si>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</si>
  <si>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</si>
  <si>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</si>
  <si>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</si>
  <si>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</si>
  <si>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</si>
  <si>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</si>
  <si>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</si>
  <si>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</si>
  <si>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</si>
  <si>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</si>
  <si>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</si>
  <si>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</si>
  <si>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</si>
  <si>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</si>
  <si>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</si>
  <si>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</si>
  <si>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</si>
  <si>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</si>
  <si>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</si>
  <si>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</si>
  <si>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</si>
  <si>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</si>
  <si>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</si>
  <si>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</si>
  <si>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</si>
  <si>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</si>
  <si>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</si>
  <si>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</si>
  <si>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</si>
  <si>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</si>
  <si>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</si>
  <si>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</si>
  <si>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</si>
  <si>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</si>
  <si>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</si>
  <si>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</si>
  <si>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</si>
  <si>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</si>
  <si>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</si>
  <si>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</si>
  <si>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</si>
  <si>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</si>
  <si>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</si>
  <si>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</si>
  <si>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</si>
  <si>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</si>
  <si>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</si>
  <si>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</si>
  <si>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</si>
  <si>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</si>
  <si>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</si>
  <si>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</si>
  <si>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</si>
  <si>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</si>
  <si>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</si>
  <si>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</si>
  <si>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</si>
  <si>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</si>
  <si>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</si>
  <si>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</si>
  <si>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</si>
  <si>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</si>
  <si>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</si>
  <si>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</si>
  <si>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</si>
  <si>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</si>
  <si>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</si>
  <si>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</si>
  <si>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</si>
  <si>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</si>
  <si>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</si>
  <si>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</si>
  <si>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</si>
  <si>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</si>
  <si>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</si>
  <si>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</si>
  <si>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</si>
  <si>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</si>
  <si>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</si>
  <si>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</si>
  <si>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</si>
  <si>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</si>
  <si>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</si>
  <si>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</si>
  <si>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</si>
  <si>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</si>
  <si>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</si>
  <si>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</si>
  <si>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</si>
  <si>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</si>
  <si>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</si>
  <si>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</si>
  <si>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</si>
  <si>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</si>
  <si>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</si>
  <si>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</si>
  <si>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</si>
  <si>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</si>
  <si>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</si>
  <si>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</si>
  <si>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</si>
  <si>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</si>
  <si>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</si>
  <si>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</si>
  <si>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</si>
  <si>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</si>
  <si>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</si>
  <si>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</si>
  <si>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</si>
  <si>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</si>
  <si>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</si>
  <si>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</si>
  <si>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</si>
  <si>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</si>
  <si>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</si>
  <si>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</si>
  <si>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</si>
  <si>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</si>
  <si>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</si>
  <si>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</si>
  <si>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</si>
  <si>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</si>
  <si>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</si>
  <si>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</si>
  <si>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</si>
  <si>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</si>
  <si>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</si>
  <si>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</si>
  <si>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</si>
  <si>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</si>
  <si>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</si>
  <si>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</si>
  <si>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</si>
  <si>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</si>
  <si>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</si>
  <si>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</si>
  <si>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</si>
  <si>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</si>
  <si>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</si>
  <si>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</si>
  <si>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</si>
  <si>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</si>
  <si>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</si>
  <si>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</si>
  <si>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</si>
  <si>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</si>
  <si>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</si>
  <si>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</si>
  <si>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</si>
  <si>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</si>
  <si>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</si>
  <si>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</si>
  <si>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</si>
  <si>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</si>
  <si>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</si>
  <si>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</si>
  <si>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</si>
  <si>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</si>
  <si>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</si>
  <si>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</si>
  <si>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</si>
  <si>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</si>
  <si>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</si>
  <si>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</si>
  <si>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</si>
  <si>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</si>
  <si>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</si>
  <si>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</si>
  <si>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</si>
  <si>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</si>
  <si>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</si>
  <si>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</si>
  <si>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</si>
  <si>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</si>
  <si>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</si>
  <si>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</si>
  <si>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</si>
  <si>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</si>
  <si>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</si>
  <si>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</si>
  <si>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</si>
  <si>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</si>
  <si>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</si>
  <si>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</si>
  <si>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</si>
  <si>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</si>
  <si>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</si>
  <si>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</si>
  <si>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</si>
  <si>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</si>
  <si>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</si>
  <si>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</si>
  <si>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</si>
  <si>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</si>
  <si>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</si>
  <si>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</si>
  <si>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</si>
  <si>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</si>
  <si>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</si>
  <si>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</si>
  <si>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</si>
  <si>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</si>
  <si>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</si>
  <si>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</si>
  <si>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</si>
  <si>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</si>
  <si>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</si>
  <si>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</si>
  <si>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</si>
  <si>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</si>
  <si>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</si>
  <si>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</si>
  <si>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</si>
  <si>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</si>
  <si>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</si>
  <si>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</si>
  <si>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</si>
  <si>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</si>
  <si>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</si>
  <si>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</si>
  <si>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</si>
  <si>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</si>
  <si>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</si>
  <si>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</si>
  <si>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</si>
  <si>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</si>
  <si>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</si>
  <si>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</si>
  <si>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</si>
  <si>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</si>
  <si>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</si>
  <si>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</si>
  <si>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</si>
  <si>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</si>
  <si>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</si>
  <si>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</si>
  <si>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</si>
  <si>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</si>
  <si>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</si>
  <si>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</si>
  <si>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</si>
  <si>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</si>
  <si>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</si>
  <si>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</si>
  <si>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</si>
  <si>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</si>
  <si>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</si>
  <si>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</si>
  <si>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</si>
  <si>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</si>
  <si>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</si>
  <si>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</si>
  <si>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</si>
  <si>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</si>
  <si>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</si>
  <si>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</si>
  <si>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</si>
  <si>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</si>
  <si>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</si>
  <si>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</si>
  <si>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</si>
  <si>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</si>
  <si>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</si>
  <si>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</si>
  <si>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</si>
  <si>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</si>
  <si>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</si>
  <si>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</si>
  <si>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</si>
  <si>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</si>
  <si>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</si>
  <si>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</si>
  <si>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</si>
  <si>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</si>
  <si>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</si>
  <si>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</si>
  <si>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</si>
  <si>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</si>
  <si>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</si>
  <si>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</si>
  <si>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</si>
  <si>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</si>
  <si>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</si>
  <si>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</si>
  <si>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</si>
  <si>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</si>
  <si>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</si>
  <si>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</si>
  <si>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</si>
  <si>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</si>
  <si>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</si>
  <si>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</si>
  <si>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</si>
  <si>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</si>
  <si>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</si>
  <si>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</si>
  <si>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</si>
  <si>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</si>
  <si>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</si>
  <si>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</si>
  <si>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</si>
  <si>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</si>
  <si>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</si>
  <si>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</si>
  <si>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</si>
  <si>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</si>
  <si>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</si>
  <si>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</si>
  <si>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</si>
  <si>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</si>
  <si>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</si>
  <si>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</si>
  <si>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</si>
  <si>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</si>
  <si>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</si>
  <si>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</si>
  <si>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</si>
  <si>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</si>
  <si>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</si>
  <si>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</si>
  <si>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</si>
  <si>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</si>
  <si>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</si>
  <si>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</si>
  <si>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</si>
  <si>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</si>
  <si>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</si>
  <si>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</si>
  <si>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</si>
  <si>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</si>
  <si>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</si>
  <si>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</si>
  <si>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</si>
  <si>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</si>
  <si>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</si>
  <si>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</si>
  <si>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</si>
  <si>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</si>
  <si>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</si>
  <si>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</si>
  <si>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</si>
  <si>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</si>
  <si>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</si>
  <si>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</si>
  <si>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</si>
  <si>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</si>
  <si>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</si>
  <si>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</si>
  <si>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</si>
  <si>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</si>
  <si>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</si>
  <si>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</si>
  <si>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</si>
  <si>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</si>
  <si>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</si>
  <si>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</si>
  <si>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</si>
  <si>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</si>
  <si>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</si>
  <si>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</si>
  <si>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</si>
  <si>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</si>
  <si>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</si>
  <si>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</si>
  <si>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</si>
  <si>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</si>
  <si>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</si>
  <si>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</si>
  <si>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</si>
  <si>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</si>
  <si>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</si>
  <si>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</si>
  <si>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</si>
  <si>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</si>
  <si>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</si>
  <si>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</si>
  <si>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</si>
  <si>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</si>
  <si>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</si>
  <si>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</si>
  <si>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</si>
  <si>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</si>
  <si>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</si>
  <si>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</si>
  <si>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</si>
  <si>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</si>
  <si>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</si>
  <si>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</si>
  <si>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</si>
  <si>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</si>
  <si>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</si>
  <si>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</si>
  <si>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</si>
  <si>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</si>
  <si>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</si>
  <si>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</si>
  <si>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</si>
  <si>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</si>
  <si>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</si>
  <si>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</si>
  <si>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</si>
  <si>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</si>
  <si>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</si>
  <si>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</si>
  <si>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</si>
  <si>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</si>
  <si>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</si>
  <si>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</si>
  <si>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</si>
  <si>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</si>
  <si>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</si>
  <si>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</si>
  <si>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</si>
  <si>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</si>
  <si>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</si>
  <si>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</si>
  <si>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</si>
  <si>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</si>
  <si>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</si>
  <si>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</si>
  <si>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</si>
  <si>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</si>
  <si>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</si>
  <si>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</si>
  <si>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</si>
  <si>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</si>
  <si>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</si>
  <si>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</si>
  <si>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</si>
  <si>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</si>
  <si>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</si>
  <si>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</si>
  <si>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</si>
  <si>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</si>
  <si>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</si>
  <si>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</si>
  <si>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</si>
  <si>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</si>
  <si>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</si>
  <si>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</si>
  <si>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</si>
  <si>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</si>
  <si>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</si>
  <si>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</si>
  <si>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</si>
  <si>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</si>
  <si>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</si>
  <si>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</si>
  <si>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</si>
  <si>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</si>
  <si>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</si>
  <si>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</si>
  <si>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</si>
  <si>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</si>
  <si>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</si>
  <si>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</si>
  <si>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</si>
  <si>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</si>
  <si>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</si>
  <si>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</si>
  <si>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</si>
  <si>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</si>
  <si>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</si>
  <si>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</si>
  <si>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</si>
  <si>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</si>
  <si>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</si>
  <si>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</si>
  <si>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</si>
  <si>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</si>
  <si>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</si>
  <si>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</si>
  <si>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</si>
  <si>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</si>
  <si>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</si>
  <si>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</si>
  <si>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</si>
  <si>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</si>
  <si>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</si>
  <si>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</si>
  <si>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</si>
  <si>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</si>
  <si>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</si>
  <si>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</si>
  <si>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</si>
  <si>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</si>
  <si>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</si>
  <si>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</si>
  <si>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</si>
  <si>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</si>
  <si>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</si>
  <si>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</si>
  <si>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</si>
  <si>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</si>
  <si>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</si>
  <si>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</si>
  <si>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</si>
  <si>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</si>
  <si>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</si>
  <si>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</si>
  <si>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</si>
  <si>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</si>
  <si>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</si>
  <si>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</si>
  <si>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</si>
  <si>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</si>
  <si>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</si>
  <si>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</si>
  <si>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</si>
  <si>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</si>
  <si>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</si>
  <si>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</si>
  <si>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</si>
  <si>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</si>
  <si>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</si>
  <si>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</si>
  <si>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</si>
  <si>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</si>
  <si>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</si>
  <si>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</si>
  <si>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</si>
  <si>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</si>
  <si>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</si>
  <si>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</si>
  <si>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</si>
  <si>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</si>
  <si>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</si>
  <si>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</si>
  <si>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</si>
  <si>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</si>
  <si>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</si>
  <si>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</si>
  <si>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</si>
  <si>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</si>
  <si>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</si>
  <si>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</si>
  <si>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</si>
  <si>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</si>
  <si>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</si>
  <si>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</si>
  <si>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</si>
  <si>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</si>
  <si>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</si>
  <si>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</si>
  <si>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</si>
  <si>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</si>
  <si>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</si>
  <si>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</si>
  <si>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</si>
  <si>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</si>
  <si>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</si>
  <si>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</si>
  <si>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</si>
  <si>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</si>
  <si>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</si>
  <si>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</si>
  <si>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</si>
  <si>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</si>
  <si>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</si>
  <si>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</si>
  <si>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</si>
  <si>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</si>
  <si>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</si>
  <si>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</si>
  <si>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</si>
  <si>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</si>
  <si>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</si>
  <si>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</si>
  <si>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</si>
  <si>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</si>
  <si>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</si>
  <si>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</si>
  <si>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</si>
  <si>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</si>
  <si>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</si>
  <si>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</si>
  <si>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</si>
  <si>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</si>
  <si>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</si>
  <si>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</si>
  <si>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</si>
  <si>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</si>
  <si>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</si>
  <si>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</si>
  <si>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</si>
  <si>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</si>
  <si>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</si>
  <si>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</si>
  <si>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</si>
  <si>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</si>
  <si>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</si>
  <si>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</si>
  <si>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</si>
  <si>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</si>
  <si>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</si>
  <si>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</si>
  <si>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</si>
  <si>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</si>
  <si>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</si>
  <si>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</si>
  <si>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</si>
  <si>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</si>
  <si>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</si>
  <si>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</si>
  <si>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</si>
  <si>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</si>
  <si>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</si>
  <si>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</si>
  <si>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</si>
  <si>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</si>
  <si>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</si>
  <si>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</si>
  <si>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</si>
  <si>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</si>
  <si>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</si>
  <si>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</si>
  <si>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</si>
  <si>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</si>
  <si>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</si>
  <si>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</si>
  <si>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</si>
  <si>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</si>
  <si>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</si>
  <si>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</si>
  <si>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</si>
  <si>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</si>
  <si>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</si>
  <si>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</si>
  <si>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</si>
  <si>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</si>
  <si>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</si>
  <si>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</si>
  <si>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</si>
  <si>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</si>
  <si>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</si>
  <si>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</si>
  <si>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</si>
  <si>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</si>
  <si>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</si>
  <si>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</si>
  <si>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</si>
  <si>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</si>
  <si>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</si>
  <si>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</si>
  <si>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</si>
  <si>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</si>
  <si>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</si>
  <si>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</si>
  <si>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</si>
  <si>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</si>
  <si>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</si>
  <si>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</si>
  <si>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</si>
  <si>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</si>
  <si>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</si>
  <si>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</si>
  <si>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</si>
  <si>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</si>
  <si>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</si>
  <si>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</si>
  <si>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</si>
  <si>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</si>
  <si>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</si>
  <si>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</si>
  <si>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</si>
  <si>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</si>
  <si>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</si>
  <si>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</si>
  <si>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</si>
  <si>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</si>
  <si>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</si>
  <si>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</si>
  <si>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</si>
  <si>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</si>
  <si>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</si>
  <si>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</si>
  <si>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</si>
  <si>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</si>
  <si>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</si>
  <si>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</si>
  <si>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</si>
  <si>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</si>
  <si>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</si>
  <si>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</si>
  <si>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</si>
  <si>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</si>
  <si>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</si>
  <si>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</si>
  <si>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</si>
  <si>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</si>
  <si>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</si>
  <si>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</si>
  <si>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</si>
  <si>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</si>
  <si>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</si>
  <si>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</si>
  <si>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</si>
  <si>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</si>
  <si>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</si>
  <si>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</si>
  <si>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</si>
  <si>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</si>
  <si>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</si>
  <si>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</si>
  <si>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</si>
  <si>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</si>
  <si>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</si>
  <si>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</si>
  <si>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</si>
  <si>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</si>
  <si>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</si>
  <si>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</si>
  <si>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</si>
  <si>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</si>
  <si>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</si>
  <si>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</si>
  <si>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</si>
  <si>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</si>
  <si>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</si>
  <si>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</si>
  <si>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</si>
  <si>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</si>
  <si>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</si>
  <si>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</si>
  <si>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</si>
  <si>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</si>
  <si>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</si>
  <si>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</si>
  <si>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</si>
  <si>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</si>
  <si>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</si>
  <si>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</si>
  <si>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</si>
  <si>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</si>
  <si>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</si>
  <si>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</si>
  <si>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</si>
  <si>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</si>
  <si>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</si>
  <si>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</si>
  <si>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</si>
  <si>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</si>
  <si>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</si>
  <si>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</si>
  <si>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</si>
  <si>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</si>
  <si>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</si>
  <si>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</si>
  <si>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</si>
  <si>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</si>
  <si>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</si>
  <si>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</si>
  <si>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</si>
  <si>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</si>
  <si>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</si>
  <si>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</si>
  <si>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</si>
  <si>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</si>
  <si>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</si>
  <si>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</si>
  <si>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</si>
  <si>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</si>
  <si>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</si>
  <si>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</si>
  <si>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</si>
  <si>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</si>
  <si>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</si>
  <si>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</si>
  <si>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</si>
  <si>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</si>
  <si>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</si>
  <si>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</si>
  <si>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</si>
  <si>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</si>
  <si>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</si>
  <si>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</si>
  <si>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</si>
  <si>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</si>
  <si>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</si>
  <si>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</si>
  <si>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</si>
  <si>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</si>
  <si>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</si>
  <si>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</si>
  <si>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</si>
  <si>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</si>
  <si>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</si>
  <si>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</si>
  <si>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</si>
  <si>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</si>
  <si>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</si>
  <si>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</si>
  <si>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</si>
  <si>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</si>
  <si>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</si>
  <si>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</si>
  <si>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</si>
  <si>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</si>
  <si>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</si>
  <si>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</si>
  <si>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</si>
  <si>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</si>
  <si>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</si>
  <si>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</si>
  <si>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</si>
  <si>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</si>
  <si>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</si>
  <si>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</si>
  <si>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</si>
  <si>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</si>
  <si>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</si>
  <si>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</si>
  <si>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</si>
  <si>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</si>
  <si>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</si>
  <si>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</si>
  <si>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</si>
  <si>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</si>
  <si>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</si>
  <si>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</si>
  <si>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</si>
  <si>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</si>
  <si>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</si>
  <si>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</si>
  <si>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</si>
  <si>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</si>
  <si>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</si>
  <si>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</si>
  <si>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</si>
  <si>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</si>
  <si>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</si>
  <si>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</si>
  <si>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</si>
  <si>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</si>
  <si>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</si>
  <si>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</si>
  <si>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</si>
  <si>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</si>
  <si>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</si>
  <si>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</si>
  <si>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</si>
  <si>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</si>
  <si>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</si>
  <si>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</si>
  <si>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</si>
  <si>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</si>
  <si>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</si>
  <si>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</si>
  <si>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</si>
  <si>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</si>
  <si>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</si>
  <si>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</si>
  <si>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</si>
  <si>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</si>
  <si>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</si>
  <si>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</si>
  <si>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</si>
  <si>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</si>
  <si>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</si>
  <si>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</si>
  <si>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</si>
  <si>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</si>
  <si>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</si>
  <si>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</si>
  <si>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</si>
  <si>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</si>
  <si>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</si>
  <si>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</si>
  <si>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</si>
  <si>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</si>
  <si>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</si>
  <si>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</si>
  <si>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</si>
  <si>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</si>
  <si>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</si>
  <si>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</si>
  <si>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</si>
  <si>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</si>
  <si>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</si>
  <si>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</si>
  <si>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</si>
  <si>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</si>
  <si>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</si>
  <si>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</si>
  <si>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</si>
  <si>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</si>
  <si>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</si>
  <si>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</si>
  <si>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</si>
  <si>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</si>
  <si>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</si>
  <si>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</si>
  <si>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</si>
  <si>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</si>
  <si>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</si>
  <si>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</si>
  <si>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</si>
  <si>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</si>
  <si>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</si>
  <si>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</si>
  <si>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</si>
  <si>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</si>
  <si>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</si>
  <si>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</si>
  <si>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</si>
  <si>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</si>
  <si>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</si>
  <si>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</si>
  <si>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</si>
  <si>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</si>
  <si>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</si>
  <si>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</si>
  <si>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</si>
  <si>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</si>
  <si>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</si>
  <si>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</si>
  <si>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</si>
  <si>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</si>
  <si>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</si>
  <si>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</si>
  <si>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</si>
  <si>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</si>
  <si>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</si>
  <si>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</si>
  <si>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</si>
  <si>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</si>
  <si>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</si>
  <si>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</si>
  <si>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</si>
  <si>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</si>
  <si>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</si>
  <si>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</si>
  <si>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</si>
  <si>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</si>
  <si>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</si>
  <si>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</si>
  <si>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</si>
  <si>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</si>
  <si>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</si>
  <si>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</si>
  <si>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</si>
  <si>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</si>
  <si>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</si>
  <si>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</si>
  <si>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</si>
  <si>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</si>
  <si>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</si>
  <si>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</si>
  <si>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</si>
  <si>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</si>
  <si>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</si>
  <si>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</si>
  <si>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</si>
  <si>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</si>
  <si>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</si>
  <si>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</si>
  <si>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</si>
  <si>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</si>
  <si>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</si>
  <si>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</si>
  <si>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</si>
  <si>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</si>
  <si>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</si>
  <si>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</si>
  <si>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</si>
  <si>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</si>
  <si>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</si>
  <si>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</si>
  <si>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</si>
  <si>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</si>
  <si>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</si>
  <si>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</si>
  <si>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</si>
  <si>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</si>
  <si>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</si>
  <si>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</si>
  <si>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</si>
  <si>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</si>
  <si>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</si>
  <si>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</si>
  <si>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</si>
  <si>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</si>
  <si>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</si>
  <si>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</si>
  <si>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</si>
  <si>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</si>
  <si>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</si>
  <si>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</si>
  <si>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</si>
  <si>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</si>
  <si>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</si>
  <si>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</si>
  <si>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</si>
  <si>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</si>
  <si>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</si>
  <si>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</si>
  <si>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</si>
  <si>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</si>
  <si>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</si>
  <si>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</si>
  <si>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</si>
  <si>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</si>
  <si>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</si>
  <si>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</si>
  <si>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</si>
  <si>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</si>
  <si>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</si>
  <si>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</si>
  <si>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</si>
  <si>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</si>
  <si>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</si>
  <si>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</si>
  <si>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</si>
  <si>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</si>
  <si>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</si>
  <si>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</si>
  <si>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</si>
  <si>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</si>
  <si>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</si>
  <si>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</si>
  <si>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</si>
  <si>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</si>
  <si>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</si>
  <si>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</si>
  <si>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</si>
  <si>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</si>
  <si>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</si>
  <si>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</si>
  <si>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</si>
  <si>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</si>
  <si>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</si>
  <si>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</si>
  <si>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</si>
  <si>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</si>
  <si>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</si>
  <si>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</si>
  <si>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</si>
  <si>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</si>
  <si>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</si>
  <si>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</si>
  <si>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</si>
  <si>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</si>
  <si>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</si>
  <si>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</si>
  <si>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</si>
  <si>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</si>
  <si>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</si>
  <si>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</si>
  <si>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</si>
  <si>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</si>
  <si>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</si>
  <si>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</si>
  <si>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</si>
  <si>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</si>
  <si>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</si>
  <si>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</si>
  <si>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</si>
  <si>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</si>
  <si>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</si>
  <si>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</si>
  <si>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</si>
  <si>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</si>
  <si>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</si>
  <si>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</si>
  <si>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</si>
  <si>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</si>
  <si>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</si>
  <si>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</si>
  <si>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</si>
  <si>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</si>
  <si>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</si>
  <si>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</si>
  <si>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</si>
  <si>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</si>
  <si>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</si>
  <si>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</si>
  <si>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</si>
  <si>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</si>
  <si>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</si>
  <si>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</si>
  <si>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</si>
  <si>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</si>
  <si>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</si>
  <si>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</si>
  <si>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</si>
  <si>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</si>
  <si>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</si>
  <si>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</si>
  <si>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</si>
  <si>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</si>
  <si>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</si>
  <si>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</si>
  <si>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</si>
  <si>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</si>
  <si>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</si>
  <si>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</si>
  <si>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</si>
  <si>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</si>
  <si>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</si>
  <si>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</si>
  <si>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</si>
  <si>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</si>
  <si>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</si>
  <si>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</si>
  <si>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</si>
  <si>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</si>
  <si>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</si>
  <si>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</si>
  <si>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</si>
  <si>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</si>
  <si>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</si>
  <si>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</si>
  <si>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</si>
  <si>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</si>
  <si>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</si>
  <si>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</si>
  <si>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</si>
  <si>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</si>
  <si>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</si>
  <si>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</si>
  <si>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</si>
  <si>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</si>
  <si>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</si>
  <si>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</si>
  <si>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</si>
  <si>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</si>
  <si>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</si>
  <si>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</si>
  <si>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</si>
  <si>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</si>
  <si>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</si>
  <si>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</si>
  <si>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</si>
  <si>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</si>
  <si>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</si>
  <si>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</si>
  <si>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</si>
  <si>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</si>
  <si>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</si>
  <si>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</si>
  <si>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</si>
  <si>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</si>
  <si>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</si>
  <si>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</si>
  <si>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</si>
  <si>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</si>
  <si>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</si>
  <si>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</si>
  <si>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</si>
  <si>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</si>
  <si>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</si>
  <si>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</si>
  <si>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</si>
  <si>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</si>
  <si>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</si>
  <si>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</si>
  <si>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</si>
  <si>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</si>
  <si>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</si>
  <si>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</si>
  <si>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</si>
  <si>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</si>
  <si>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</si>
  <si>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</si>
  <si>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</si>
  <si>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</si>
  <si>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</si>
  <si>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</si>
  <si>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</si>
  <si>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</si>
  <si>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</si>
  <si>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</si>
  <si>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</si>
  <si>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</si>
  <si>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</si>
  <si>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</si>
  <si>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</si>
  <si>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</si>
  <si>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</si>
  <si>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</si>
  <si>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</si>
  <si>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</si>
  <si>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</si>
  <si>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</si>
  <si>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</si>
  <si>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</si>
  <si>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</si>
  <si>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</si>
  <si>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</si>
  <si>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</si>
  <si>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</si>
  <si>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</si>
  <si>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</si>
  <si>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</si>
  <si>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</si>
  <si>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</si>
  <si>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</si>
  <si>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</si>
  <si>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</si>
  <si>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</si>
  <si>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</si>
  <si>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</si>
  <si>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</si>
  <si>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</si>
  <si>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</si>
  <si>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</si>
  <si>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</si>
  <si>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</si>
  <si>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</si>
  <si>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</si>
  <si>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</si>
  <si>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</si>
  <si>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</si>
  <si>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</si>
  <si>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</si>
  <si>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</si>
  <si>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</si>
  <si>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</si>
  <si>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</si>
  <si>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</si>
  <si>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</si>
  <si>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</si>
  <si>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</si>
  <si>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</si>
  <si>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</si>
  <si>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</si>
  <si>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</si>
  <si>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</si>
  <si>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</si>
  <si>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</si>
  <si>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</si>
  <si>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</si>
  <si>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</si>
  <si>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</si>
  <si>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</si>
  <si>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</si>
  <si>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</si>
  <si>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</si>
  <si>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</si>
  <si>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</si>
  <si>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</si>
  <si>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</si>
  <si>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</si>
  <si>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</si>
  <si>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</si>
  <si>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</si>
  <si>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</si>
  <si>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</si>
  <si>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</si>
  <si>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</si>
  <si>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</si>
  <si>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</si>
  <si>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</si>
  <si>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</si>
  <si>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</si>
  <si>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</si>
  <si>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</si>
  <si>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</si>
  <si>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</si>
  <si>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</si>
  <si>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</si>
  <si>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</si>
  <si>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</si>
  <si>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</si>
  <si>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</si>
  <si>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</si>
  <si>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</si>
  <si>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</si>
  <si>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</si>
  <si>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</si>
  <si>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</si>
  <si>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</si>
  <si>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</si>
  <si>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</si>
  <si>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</si>
  <si>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</si>
  <si>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</si>
  <si>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</si>
  <si>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</si>
  <si>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</si>
  <si>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</si>
  <si>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</si>
  <si>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</si>
  <si>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</si>
  <si>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</si>
  <si>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</si>
  <si>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</si>
  <si>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</si>
  <si>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</si>
  <si>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</si>
  <si>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</si>
  <si>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</si>
  <si>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</si>
  <si>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</si>
  <si>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</si>
  <si>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</si>
  <si>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</si>
  <si>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</si>
  <si>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</si>
  <si>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</si>
  <si>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</si>
  <si>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</si>
  <si>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</si>
  <si>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</si>
  <si>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</si>
  <si>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</si>
  <si>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</si>
  <si>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</si>
  <si>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</si>
  <si>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</si>
  <si>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</si>
  <si>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</si>
  <si>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</si>
  <si>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</si>
  <si>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</si>
  <si>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</si>
  <si>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</si>
  <si>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</si>
  <si>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</si>
  <si>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</si>
  <si>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</si>
  <si>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</si>
  <si>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</si>
  <si>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</si>
  <si>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</si>
  <si>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</si>
  <si>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</si>
  <si>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</si>
  <si>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</si>
  <si>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</si>
  <si>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</si>
  <si>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</si>
  <si>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</si>
  <si>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</si>
  <si>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</si>
  <si>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</si>
  <si>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</si>
  <si>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</si>
  <si>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</si>
  <si>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</si>
  <si>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</si>
  <si>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</si>
  <si>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</si>
  <si>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</si>
  <si>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</si>
  <si>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</si>
  <si>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</si>
  <si>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</si>
  <si>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</si>
  <si>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</si>
  <si>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</si>
  <si>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</si>
  <si>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</si>
  <si>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</si>
  <si>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</si>
  <si>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</si>
  <si>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</si>
  <si>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</si>
  <si>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</si>
  <si>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</si>
  <si>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</si>
  <si>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</si>
  <si>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</si>
  <si>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</si>
  <si>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</si>
  <si>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</si>
  <si>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</si>
  <si>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</si>
  <si>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</si>
  <si>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</si>
  <si>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</si>
  <si>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</si>
  <si>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</si>
  <si>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</si>
  <si>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</si>
  <si>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</si>
  <si>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</si>
  <si>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</si>
  <si>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</si>
  <si>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</si>
  <si>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</si>
  <si>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</si>
  <si>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</si>
  <si>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</si>
  <si>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</si>
  <si>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</si>
  <si>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</si>
  <si>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</si>
  <si>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</si>
  <si>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</si>
  <si>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</si>
  <si>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</si>
  <si>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</si>
  <si>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</si>
  <si>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</si>
  <si>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</si>
  <si>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</si>
  <si>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</si>
  <si>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</si>
  <si>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</si>
  <si>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</si>
  <si>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</si>
  <si>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</si>
  <si>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</si>
  <si>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</si>
  <si>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</si>
  <si>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</si>
  <si>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</si>
  <si>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</si>
  <si>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</si>
  <si>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</si>
  <si>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</si>
  <si>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</si>
  <si>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</si>
  <si>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</si>
  <si>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</si>
  <si>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</si>
  <si>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</si>
  <si>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</si>
  <si>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</si>
  <si>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</si>
  <si>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</si>
  <si>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</si>
  <si>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</si>
  <si>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</si>
  <si>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</si>
  <si>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</si>
  <si>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</si>
  <si>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</si>
  <si>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</si>
  <si>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</si>
  <si>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</si>
  <si>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</si>
  <si>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</si>
  <si>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</si>
  <si>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</si>
  <si>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</si>
  <si>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</si>
  <si>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</si>
  <si>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</si>
  <si>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</si>
  <si>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</si>
  <si>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</si>
  <si>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</si>
  <si>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</si>
  <si>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</si>
  <si>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</si>
  <si>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</si>
  <si>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</si>
  <si>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</si>
  <si>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</si>
  <si>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</si>
  <si>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</si>
  <si>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</si>
  <si>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</si>
  <si>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</si>
  <si>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</si>
  <si>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</si>
  <si>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</si>
  <si>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</si>
  <si>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</si>
  <si>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</si>
  <si>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</si>
  <si>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</si>
  <si>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</si>
  <si>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</si>
  <si>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</si>
  <si>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</si>
  <si>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</si>
  <si>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</si>
  <si>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</si>
  <si>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</si>
  <si>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</si>
  <si>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</si>
  <si>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</si>
  <si>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</si>
  <si>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</si>
  <si>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</si>
  <si>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</si>
  <si>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</si>
  <si>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</si>
  <si>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</si>
  <si>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</si>
  <si>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</si>
  <si>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</si>
  <si>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</si>
  <si>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</si>
  <si>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</si>
  <si>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</si>
  <si>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</si>
  <si>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</si>
  <si>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</si>
  <si>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</si>
  <si>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</si>
  <si>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</si>
  <si>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</si>
  <si>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</si>
  <si>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</si>
  <si>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</si>
  <si>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</si>
  <si>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</si>
  <si>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</si>
  <si>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</si>
  <si>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</si>
  <si>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</si>
  <si>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</si>
  <si>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</si>
  <si>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</si>
  <si>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</si>
  <si>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</si>
  <si>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</si>
  <si>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</si>
  <si>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</si>
  <si>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</si>
  <si>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</si>
  <si>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</si>
  <si>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</si>
  <si>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</si>
  <si>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</si>
  <si>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</si>
  <si>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</si>
  <si>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</si>
  <si>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</si>
  <si>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</si>
  <si>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</si>
  <si>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</si>
  <si>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</si>
  <si>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</si>
  <si>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</si>
  <si>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</si>
  <si>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</si>
  <si>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</si>
  <si>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</si>
  <si>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</si>
  <si>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</si>
  <si>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</si>
  <si>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</si>
  <si>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</si>
  <si>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</si>
  <si>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</si>
  <si>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</si>
  <si>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</si>
  <si>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</si>
  <si>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</si>
  <si>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</si>
  <si>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</si>
  <si>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</si>
  <si>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</si>
  <si>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</si>
  <si>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</si>
  <si>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</si>
  <si>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</si>
  <si>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</si>
  <si>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</si>
  <si>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</si>
  <si>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</si>
  <si>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</si>
  <si>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</si>
  <si>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</si>
  <si>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</si>
  <si>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</si>
  <si>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</si>
  <si>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</si>
  <si>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</si>
  <si>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</si>
  <si>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</si>
  <si>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</si>
  <si>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</si>
  <si>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</si>
  <si>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</si>
  <si>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</si>
  <si>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</si>
  <si>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</si>
  <si>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</si>
  <si>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</si>
  <si>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</si>
  <si>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</si>
  <si>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</si>
  <si>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</si>
  <si>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</si>
  <si>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</si>
  <si>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</si>
  <si>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</si>
  <si>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</si>
  <si>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</si>
  <si>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</si>
  <si>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</si>
  <si>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</si>
  <si>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</si>
  <si>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</si>
  <si>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</si>
  <si>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</si>
  <si>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</si>
  <si>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</si>
  <si>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</si>
  <si>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</si>
  <si>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</si>
  <si>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</si>
  <si>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</si>
  <si>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</si>
  <si>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</si>
  <si>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</si>
  <si>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</si>
  <si>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</si>
  <si>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</si>
  <si>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</si>
  <si>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</si>
  <si>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</si>
  <si>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</si>
  <si>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</si>
  <si>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</si>
  <si>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</si>
  <si>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</si>
  <si>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</si>
  <si>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</si>
  <si>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</si>
  <si>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</si>
  <si>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</si>
  <si>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</si>
  <si>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</si>
  <si>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</si>
  <si>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</si>
  <si>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</si>
  <si>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</si>
  <si>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</si>
  <si>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</si>
  <si>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</si>
  <si>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</si>
  <si>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</si>
  <si>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</si>
  <si>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</si>
  <si>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</si>
  <si>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</si>
  <si>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</si>
  <si>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</si>
  <si>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</si>
  <si>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</si>
  <si>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</si>
  <si>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</si>
  <si>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</si>
  <si>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</si>
  <si>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</si>
  <si>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</si>
  <si>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</si>
  <si>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</si>
  <si>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</si>
  <si>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</si>
  <si>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</si>
  <si>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</si>
  <si>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</si>
  <si>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</si>
  <si>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</si>
  <si>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</si>
  <si>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</si>
  <si>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</si>
  <si>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</si>
  <si>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</si>
  <si>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</si>
  <si>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</si>
  <si>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</si>
  <si>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</si>
  <si>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</si>
  <si>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</si>
  <si>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</si>
  <si>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</si>
  <si>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</si>
  <si>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</si>
  <si>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</si>
  <si>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</si>
  <si>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</si>
  <si>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</si>
  <si>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</si>
  <si>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</si>
  <si>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</si>
  <si>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</si>
  <si>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</si>
  <si>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</si>
  <si>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</si>
  <si>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</si>
  <si>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</si>
  <si>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</si>
  <si>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</si>
  <si>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</si>
  <si>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</si>
  <si>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</si>
  <si>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</si>
  <si>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</si>
  <si>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</si>
  <si>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</si>
  <si>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</si>
  <si>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</si>
  <si>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</si>
  <si>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</si>
  <si>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</si>
  <si>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</si>
  <si>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</si>
  <si>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</si>
  <si>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</si>
  <si>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</si>
  <si>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</si>
  <si>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</si>
  <si>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</si>
  <si>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</si>
  <si>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</si>
  <si>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</si>
  <si>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</si>
  <si>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</si>
  <si>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</si>
  <si>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</si>
  <si>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</si>
  <si>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</si>
  <si>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</si>
  <si>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</si>
  <si>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</si>
  <si>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</si>
  <si>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</si>
  <si>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</si>
  <si>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</si>
  <si>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</si>
  <si>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</si>
  <si>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</si>
  <si>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</si>
  <si>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</si>
  <si>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</si>
  <si>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</si>
  <si>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</si>
  <si>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</si>
  <si>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</si>
  <si>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</si>
  <si>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</si>
  <si>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</si>
  <si>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</si>
  <si>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</si>
  <si>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</si>
  <si>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</si>
  <si>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</si>
  <si>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</si>
  <si>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</si>
  <si>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</si>
  <si>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</si>
  <si>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</si>
  <si>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</si>
  <si>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</si>
  <si>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</si>
  <si>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</si>
  <si>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</si>
  <si>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</si>
  <si>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</si>
  <si>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</si>
  <si>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</si>
  <si>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</si>
  <si>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</si>
  <si>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</si>
  <si>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</si>
  <si>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</si>
  <si>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</si>
  <si>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</si>
  <si>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</si>
  <si>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</si>
  <si>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</si>
  <si>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</si>
  <si>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</si>
  <si>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</si>
  <si>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</si>
  <si>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</si>
  <si>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</si>
  <si>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</si>
  <si>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</si>
  <si>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</si>
  <si>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</si>
  <si>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</si>
  <si>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</si>
  <si>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</si>
  <si>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</si>
  <si>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</si>
  <si>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</si>
  <si>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</si>
  <si>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</si>
  <si>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</si>
  <si>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</si>
  <si>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</si>
  <si>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</si>
  <si>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</si>
  <si>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</si>
  <si>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</si>
  <si>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</si>
  <si>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</si>
  <si>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</si>
  <si>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</si>
  <si>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</si>
  <si>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</si>
  <si>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</si>
  <si>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</si>
  <si>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</si>
  <si>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</si>
  <si>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</si>
  <si>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</si>
  <si>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</si>
  <si>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</si>
  <si>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</si>
  <si>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</si>
  <si>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</si>
  <si>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</si>
  <si>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</si>
  <si>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</si>
  <si>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</si>
  <si>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</si>
  <si>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</si>
  <si>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</si>
  <si>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</si>
  <si>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</si>
  <si>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</si>
  <si>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</si>
  <si>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</si>
  <si>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</si>
  <si>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</si>
  <si>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</si>
  <si>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</si>
  <si>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</si>
  <si>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</si>
  <si>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</si>
  <si>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</si>
  <si>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</si>
  <si>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</si>
  <si>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</si>
  <si>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</si>
  <si>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</si>
  <si>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</si>
  <si>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</si>
  <si>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</si>
  <si>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</si>
  <si>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</si>
  <si>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</si>
  <si>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</si>
  <si>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</si>
  <si>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</si>
  <si>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</si>
  <si>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</si>
  <si>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</si>
  <si>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</si>
  <si>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</si>
  <si>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</si>
  <si>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</si>
  <si>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</si>
  <si>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</si>
  <si>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</si>
  <si>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</si>
  <si>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</si>
  <si>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</si>
  <si>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</si>
  <si>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</si>
  <si>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</si>
  <si>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</si>
  <si>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</si>
  <si>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</si>
  <si>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</si>
  <si>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</si>
  <si>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</si>
  <si>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</si>
  <si>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</si>
  <si>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</si>
  <si>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</si>
  <si>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</si>
  <si>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</si>
  <si>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</si>
  <si>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</si>
  <si>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</si>
  <si>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</si>
  <si>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</si>
  <si>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</si>
  <si>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</si>
  <si>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</si>
  <si>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</si>
  <si>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</si>
  <si>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</si>
  <si>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</si>
  <si>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</si>
  <si>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</si>
  <si>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</si>
  <si>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</si>
  <si>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</si>
  <si>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</si>
  <si>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</si>
  <si>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</si>
  <si>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</si>
  <si>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</si>
  <si>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</si>
  <si>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</si>
  <si>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</si>
  <si>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</si>
  <si>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</si>
  <si>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</si>
  <si>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</si>
  <si>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</si>
  <si>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</si>
  <si>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</si>
  <si>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</si>
  <si>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</si>
  <si>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</si>
  <si>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</si>
  <si>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</si>
  <si>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</si>
  <si>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</si>
  <si>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</si>
  <si>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</si>
  <si>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</si>
  <si>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</si>
  <si>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</si>
  <si>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</si>
  <si>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</si>
  <si>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</si>
  <si>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</si>
  <si>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</si>
  <si>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</si>
  <si>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</si>
  <si>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</si>
  <si>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</si>
  <si>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</si>
  <si>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</si>
  <si>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</si>
  <si>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</si>
  <si>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</si>
  <si>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</si>
  <si>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</si>
  <si>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</si>
  <si>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</si>
  <si>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</si>
  <si>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</si>
  <si>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</si>
  <si>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</si>
  <si>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</si>
  <si>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</si>
  <si>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</si>
  <si>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</si>
  <si>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</si>
  <si>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</si>
  <si>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</si>
  <si>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</si>
  <si>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</si>
  <si>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</si>
  <si>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</si>
  <si>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</si>
  <si>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</si>
  <si>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</si>
  <si>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</si>
  <si>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</si>
  <si>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</si>
  <si>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</si>
  <si>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</si>
  <si>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</si>
  <si>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</si>
  <si>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</si>
  <si>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</si>
  <si>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</si>
  <si>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</si>
  <si>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</si>
  <si>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</si>
  <si>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</si>
  <si>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</si>
  <si>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</si>
  <si>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</si>
  <si>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</si>
  <si>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</si>
  <si>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</si>
  <si>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</si>
  <si>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</si>
  <si>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</si>
  <si>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</si>
  <si>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</si>
  <si>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</si>
  <si>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</si>
  <si>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</si>
  <si>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</si>
  <si>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</si>
  <si>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</si>
  <si>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</si>
  <si>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</si>
  <si>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</si>
  <si>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</si>
  <si>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</si>
  <si>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</si>
  <si>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</si>
  <si>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</si>
  <si>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</si>
  <si>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</si>
  <si>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</si>
  <si>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</si>
  <si>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</si>
  <si>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</si>
  <si>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</si>
  <si>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</si>
  <si>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</si>
  <si>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</si>
  <si>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</si>
  <si>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</si>
  <si>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</si>
  <si>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</si>
  <si>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</si>
  <si>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</si>
  <si>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</si>
  <si>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</si>
  <si>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</si>
  <si>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</si>
  <si>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</si>
  <si>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</si>
  <si>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</si>
  <si>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</si>
  <si>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</si>
  <si>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</si>
  <si>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</si>
  <si>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</si>
  <si>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</si>
  <si>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</si>
  <si>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</si>
  <si>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</si>
  <si>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</si>
  <si>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</si>
  <si>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</si>
  <si>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</si>
  <si>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</si>
  <si>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</si>
  <si>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</si>
  <si>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</si>
  <si>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</si>
  <si>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</si>
  <si>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</si>
  <si>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</si>
  <si>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</si>
  <si>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</si>
  <si>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</si>
  <si>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</si>
  <si>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</si>
  <si>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</si>
  <si>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</si>
  <si>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</si>
  <si>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</si>
  <si>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</si>
  <si>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</si>
  <si>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</si>
  <si>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</si>
  <si>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</si>
  <si>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</si>
  <si>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</si>
  <si>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</si>
  <si>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</si>
  <si>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</si>
  <si>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</si>
  <si>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</si>
  <si>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</si>
  <si>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</si>
  <si>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</si>
  <si>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</si>
  <si>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</si>
  <si>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</si>
  <si>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</si>
  <si>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</si>
  <si>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</si>
  <si>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</si>
  <si>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</si>
  <si>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</si>
  <si>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</si>
  <si>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</si>
  <si>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</si>
  <si>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</si>
  <si>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</si>
  <si>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</si>
  <si>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</si>
  <si>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</si>
  <si>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</si>
  <si>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</si>
  <si>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</si>
  <si>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</si>
  <si>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</si>
  <si>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</si>
  <si>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</si>
  <si>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</si>
  <si>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</si>
  <si>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</si>
  <si>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</si>
  <si>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</si>
  <si>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</si>
  <si>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</si>
  <si>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</si>
  <si>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</si>
  <si>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</si>
  <si>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</si>
  <si>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</si>
  <si>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</si>
  <si>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</si>
  <si>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</si>
  <si>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</si>
  <si>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</si>
  <si>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</si>
  <si>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</si>
  <si>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</si>
  <si>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</si>
  <si>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</si>
  <si>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</si>
  <si>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</si>
  <si>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</si>
  <si>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</si>
  <si>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</si>
  <si>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</si>
  <si>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</si>
  <si>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</si>
  <si>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</si>
  <si>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</si>
  <si>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</si>
  <si>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</si>
  <si>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</si>
  <si>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</si>
  <si>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</si>
  <si>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</si>
  <si>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</si>
  <si>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</si>
  <si>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</si>
  <si>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</si>
  <si>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</si>
  <si>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</si>
  <si>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</si>
  <si>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</si>
  <si>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</si>
  <si>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</si>
  <si>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</si>
  <si>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</si>
  <si>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</si>
  <si>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</si>
  <si>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</si>
  <si>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</si>
  <si>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</si>
  <si>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</si>
  <si>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</si>
  <si>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</si>
  <si>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</si>
  <si>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</si>
  <si>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</si>
  <si>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</si>
  <si>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</si>
  <si>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</si>
  <si>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</si>
  <si>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</si>
  <si>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</si>
  <si>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</si>
  <si>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</si>
  <si>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</si>
  <si>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</si>
  <si>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</si>
  <si>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</si>
  <si>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</si>
  <si>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</si>
  <si>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</si>
  <si>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</si>
  <si>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</si>
  <si>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</si>
  <si>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</si>
  <si>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</si>
  <si>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</si>
  <si>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</si>
  <si>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</si>
  <si>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</si>
  <si>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</si>
  <si>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</si>
  <si>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</si>
  <si>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</si>
  <si>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</si>
  <si>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</si>
  <si>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</si>
  <si>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</si>
  <si>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</si>
  <si>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</si>
  <si>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</si>
  <si>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</si>
  <si>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</si>
  <si>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</si>
  <si>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</si>
  <si>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</si>
  <si>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</si>
  <si>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</si>
  <si>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</si>
  <si>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</si>
  <si>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</si>
  <si>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</si>
  <si>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</si>
  <si>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</si>
  <si>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</si>
  <si>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</si>
  <si>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</si>
  <si>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</si>
  <si>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</si>
  <si>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</si>
  <si>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</si>
  <si>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</si>
  <si>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</si>
  <si>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</si>
  <si>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</si>
  <si>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</si>
  <si>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</si>
  <si>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</si>
  <si>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</si>
  <si>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</si>
  <si>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</si>
  <si>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</si>
  <si>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</si>
  <si>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</si>
  <si>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</si>
  <si>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</si>
  <si>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</si>
  <si>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</si>
  <si>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</si>
  <si>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</si>
  <si>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</si>
  <si>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</si>
  <si>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</si>
  <si>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</si>
  <si>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</si>
  <si>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</si>
  <si>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</si>
  <si>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</si>
  <si>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</si>
  <si>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</si>
  <si>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</si>
  <si>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</si>
  <si>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</si>
  <si>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</si>
  <si>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</si>
  <si>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</si>
  <si>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</si>
  <si>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</si>
  <si>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</si>
  <si>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</si>
  <si>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</si>
  <si>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</si>
  <si>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</si>
  <si>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</si>
  <si>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</si>
  <si>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</si>
  <si>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</si>
  <si>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</si>
  <si>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</si>
  <si>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</si>
  <si>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</si>
  <si>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</si>
  <si>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</si>
  <si>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</si>
  <si>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</si>
  <si>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</si>
  <si>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</si>
  <si>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</si>
  <si>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</si>
  <si>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</si>
  <si>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</si>
  <si>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</si>
  <si>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</si>
  <si>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</si>
  <si>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</si>
  <si>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</si>
  <si>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</si>
  <si>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</si>
  <si>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</si>
  <si>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</si>
  <si>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</si>
  <si>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</si>
  <si>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</si>
  <si>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</si>
  <si>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</si>
  <si>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</si>
  <si>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</si>
  <si>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</si>
  <si>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</si>
  <si>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</si>
  <si>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</si>
  <si>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</si>
  <si>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</si>
  <si>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</si>
  <si>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</si>
  <si>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</si>
  <si>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</si>
  <si>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</si>
  <si>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</si>
  <si>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</si>
  <si>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</si>
  <si>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</si>
  <si>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</si>
  <si>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</si>
  <si>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</si>
  <si>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</si>
  <si>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</si>
  <si>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</si>
  <si>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</si>
  <si>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</si>
  <si>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</si>
  <si>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</si>
  <si>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</si>
  <si>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</si>
  <si>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</si>
  <si>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</si>
  <si>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</si>
  <si>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</si>
  <si>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</si>
  <si>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</si>
  <si>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</si>
  <si>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</si>
  <si>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</si>
  <si>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</si>
  <si>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</si>
  <si>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</si>
  <si>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</si>
  <si>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</si>
  <si>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</si>
  <si>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</si>
  <si>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</si>
  <si>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</si>
  <si>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</si>
  <si>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</si>
  <si>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</si>
  <si>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</si>
  <si>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</si>
  <si>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</si>
  <si>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</si>
  <si>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</si>
  <si>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</si>
  <si>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</si>
  <si>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</si>
  <si>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</si>
  <si>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</si>
  <si>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</si>
  <si>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</si>
  <si>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</si>
  <si>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</si>
  <si>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</si>
  <si>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</si>
  <si>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</si>
  <si>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</si>
  <si>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</si>
  <si>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</si>
  <si>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</si>
  <si>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</si>
  <si>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</si>
  <si>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</si>
  <si>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</si>
  <si>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</si>
  <si>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</si>
  <si>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</si>
  <si>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</si>
  <si>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</si>
  <si>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</si>
  <si>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</si>
  <si>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</si>
  <si>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</si>
  <si>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</si>
  <si>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</si>
  <si>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</si>
  <si>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</si>
  <si>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</si>
  <si>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</si>
  <si>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</si>
  <si>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</si>
  <si>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</si>
  <si>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</si>
  <si>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</si>
  <si>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</si>
  <si>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</si>
  <si>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</si>
  <si>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</si>
  <si>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</si>
  <si>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</si>
  <si>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</si>
  <si>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</si>
  <si>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</si>
  <si>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</si>
  <si>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</si>
  <si>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</si>
  <si>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</si>
  <si>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</si>
  <si>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</si>
  <si>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</si>
  <si>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</si>
  <si>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</si>
  <si>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</si>
  <si>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</si>
  <si>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</si>
  <si>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</si>
  <si>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</si>
  <si>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</si>
  <si>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</si>
  <si>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</si>
  <si>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</si>
  <si>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</si>
  <si>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</si>
  <si>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</si>
  <si>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</si>
  <si>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</si>
  <si>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</si>
  <si>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</si>
  <si>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</si>
  <si>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</si>
  <si>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</si>
  <si>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</si>
  <si>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</si>
  <si>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</si>
  <si>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</si>
  <si>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</si>
  <si>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</si>
  <si>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</si>
  <si>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</si>
  <si>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</si>
  <si>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</si>
  <si>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</si>
  <si>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</si>
  <si>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</si>
  <si>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</si>
  <si>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</si>
  <si>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</si>
  <si>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</si>
  <si>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</si>
  <si>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</si>
  <si>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</si>
  <si>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</si>
  <si>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</si>
  <si>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</si>
  <si>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</si>
  <si>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</si>
  <si>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</si>
  <si>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</si>
  <si>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</si>
  <si>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</si>
  <si>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</si>
  <si>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</si>
  <si>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</si>
  <si>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</si>
  <si>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</si>
  <si>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</si>
  <si>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</si>
  <si>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</si>
  <si>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</si>
  <si>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</si>
  <si>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</si>
  <si>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</si>
  <si>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</si>
  <si>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</si>
  <si>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</si>
  <si>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</si>
  <si>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</si>
  <si>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</si>
  <si>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</si>
  <si>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</si>
  <si>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</si>
  <si>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</si>
  <si>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</si>
  <si>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</si>
  <si>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</si>
  <si>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</si>
  <si>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</si>
  <si>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</si>
  <si>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</si>
  <si>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</si>
  <si>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</si>
  <si>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</si>
  <si>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</si>
  <si>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</si>
  <si>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</si>
  <si>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</si>
  <si>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</si>
  <si>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</si>
  <si>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</si>
  <si>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</si>
  <si>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</si>
  <si>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</si>
  <si>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</si>
  <si>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</si>
  <si>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</si>
  <si>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</si>
  <si>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</si>
  <si>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</si>
  <si>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</si>
  <si>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</si>
  <si>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</si>
  <si>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</si>
  <si>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</si>
  <si>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</si>
  <si>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</si>
  <si>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</si>
  <si>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</si>
  <si>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</si>
  <si>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</si>
  <si>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</si>
  <si>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</si>
  <si>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</si>
  <si>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</si>
  <si>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</si>
  <si>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</si>
  <si>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</si>
  <si>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</si>
  <si>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</si>
  <si>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</si>
  <si>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</si>
  <si>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</si>
  <si>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</si>
  <si>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</si>
  <si>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</si>
  <si>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</si>
  <si>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</si>
  <si>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</si>
  <si>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</si>
  <si>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</si>
  <si>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</si>
  <si>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</si>
  <si>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</si>
  <si>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</si>
  <si>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</si>
  <si>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</si>
  <si>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</si>
  <si>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</si>
  <si>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</si>
  <si>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</si>
  <si>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</si>
  <si>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</si>
  <si>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</si>
  <si>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</si>
  <si>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</si>
  <si>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</si>
  <si>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</si>
  <si>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</si>
  <si>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</si>
  <si>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</si>
  <si>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</si>
  <si>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</si>
  <si>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</si>
  <si>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</si>
  <si>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</si>
  <si>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</si>
  <si>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</si>
  <si>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</si>
  <si>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</si>
  <si>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</si>
  <si>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</si>
  <si>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</si>
  <si>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</si>
  <si>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</si>
  <si>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</si>
  <si>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</si>
  <si>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</si>
  <si>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</si>
  <si>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</si>
  <si>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</si>
  <si>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</si>
  <si>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</si>
  <si>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</si>
  <si>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</si>
  <si>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</si>
  <si>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</si>
  <si>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</si>
  <si>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</si>
  <si>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</si>
  <si>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</si>
  <si>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</si>
  <si>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</si>
  <si>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</si>
  <si>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</si>
  <si>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</si>
  <si>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</si>
  <si>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</si>
  <si>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</si>
  <si>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</si>
  <si>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</si>
  <si>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</si>
  <si>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</si>
  <si>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</si>
  <si>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</si>
  <si>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</si>
  <si>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</si>
  <si>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</si>
  <si>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</si>
  <si>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</si>
  <si>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</si>
  <si>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</si>
  <si>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</si>
  <si>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</si>
  <si>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</si>
  <si>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</si>
  <si>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</si>
  <si>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</si>
  <si>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</si>
  <si>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</si>
  <si>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</si>
  <si>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</si>
  <si>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</si>
  <si>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</si>
  <si>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</si>
  <si>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</si>
  <si>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</si>
  <si>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</si>
  <si>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</si>
  <si>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</si>
  <si>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</si>
  <si>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</si>
  <si>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</si>
  <si>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</si>
  <si>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</si>
  <si>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</si>
  <si>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</si>
  <si>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</si>
  <si>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</si>
  <si>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</si>
  <si>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</si>
  <si>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</si>
  <si>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</si>
  <si>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</si>
  <si>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</si>
  <si>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</si>
  <si>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</si>
  <si>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</si>
  <si>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</si>
  <si>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</si>
  <si>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</si>
  <si>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</si>
  <si>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</si>
  <si>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</si>
  <si>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</si>
  <si>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</si>
  <si>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</si>
  <si>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</si>
  <si>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</si>
  <si>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</si>
  <si>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</si>
  <si>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</si>
  <si>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</si>
  <si>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</si>
  <si>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</si>
  <si>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</si>
  <si>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</si>
  <si>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</si>
  <si>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</si>
  <si>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</si>
  <si>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</si>
  <si>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</si>
  <si>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</si>
  <si>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</si>
  <si>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</si>
  <si>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</si>
  <si>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</si>
  <si>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</si>
  <si>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</si>
  <si>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</si>
  <si>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</si>
  <si>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</si>
  <si>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</si>
  <si>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</si>
  <si>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</si>
  <si>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</si>
  <si>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</si>
  <si>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</si>
  <si>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</si>
  <si>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</si>
  <si>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</si>
  <si>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</si>
  <si>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</si>
  <si>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</si>
  <si>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</si>
  <si>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</si>
  <si>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</si>
  <si>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</si>
  <si>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</si>
  <si>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</si>
  <si>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</si>
  <si>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</si>
  <si>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</si>
  <si>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</si>
  <si>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</si>
  <si>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</si>
  <si>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</si>
  <si>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</si>
  <si>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</si>
  <si>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</si>
  <si>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</si>
  <si>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</si>
  <si>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</si>
  <si>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</si>
  <si>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</si>
  <si>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</si>
  <si>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</si>
  <si>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</si>
  <si>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</si>
  <si>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</si>
  <si>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</si>
  <si>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</si>
  <si>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</si>
  <si>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</si>
  <si>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</si>
  <si>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</si>
  <si>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</si>
  <si>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</si>
  <si>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</si>
  <si>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</si>
  <si>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</si>
  <si>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</si>
  <si>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</si>
  <si>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</si>
  <si>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</si>
  <si>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</si>
  <si>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</si>
  <si>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</si>
  <si>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</si>
  <si>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</si>
  <si>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</si>
  <si>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</si>
  <si>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</si>
  <si>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</si>
  <si>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</si>
  <si>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</si>
  <si>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</si>
  <si>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</si>
  <si>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</si>
  <si>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</si>
  <si>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</si>
  <si>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</si>
  <si>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</si>
  <si>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</si>
  <si>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</si>
  <si>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</si>
  <si>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</si>
  <si>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</si>
  <si>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</si>
  <si>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</si>
  <si>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</si>
  <si>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</si>
  <si>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</si>
  <si>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</si>
  <si>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</si>
  <si>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</si>
  <si>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</si>
  <si>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</si>
  <si>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</si>
  <si>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</si>
  <si>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</si>
  <si>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</si>
  <si>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</si>
  <si>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</si>
  <si>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</si>
  <si>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</si>
  <si>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</si>
  <si>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</si>
  <si>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</si>
  <si>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</si>
  <si>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</si>
  <si>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</si>
  <si>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</si>
  <si>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</si>
  <si>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</si>
  <si>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</si>
  <si>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</si>
  <si>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</si>
  <si>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</si>
  <si>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</si>
  <si>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</si>
  <si>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</si>
  <si>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</si>
  <si>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</si>
  <si>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</si>
  <si>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</si>
  <si>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</si>
  <si>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</si>
  <si>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</si>
  <si>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</si>
  <si>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</si>
  <si>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</si>
  <si>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</si>
  <si>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</si>
  <si>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</si>
  <si>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</si>
  <si>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</si>
  <si>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</si>
  <si>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</si>
  <si>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</si>
  <si>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</si>
  <si>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</si>
  <si>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</si>
  <si>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</si>
  <si>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</si>
  <si>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</si>
  <si>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</si>
  <si>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</si>
  <si>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</si>
  <si>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</si>
  <si>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</si>
  <si>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</si>
  <si>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</si>
  <si>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</si>
  <si>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</si>
  <si>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</si>
  <si>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</si>
  <si>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</si>
  <si>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</si>
  <si>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</si>
  <si>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</si>
  <si>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</si>
  <si>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</si>
  <si>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</si>
  <si>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</si>
  <si>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</si>
  <si>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</si>
  <si>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</si>
  <si>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</si>
  <si>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</si>
  <si>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</si>
  <si>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</si>
  <si>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</si>
  <si>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</si>
  <si>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</si>
  <si>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</si>
  <si>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</si>
  <si>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</si>
  <si>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</si>
  <si>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</si>
  <si>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</si>
  <si>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</si>
  <si>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</si>
  <si>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</si>
  <si>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</si>
  <si>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</si>
  <si>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</si>
  <si>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</si>
  <si>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</si>
  <si>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</si>
  <si>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</si>
  <si>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</si>
  <si>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</si>
  <si>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</si>
  <si>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</si>
  <si>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</si>
  <si>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</si>
  <si>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</si>
  <si>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</si>
  <si>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</si>
  <si>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</si>
  <si>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</si>
  <si>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</si>
  <si>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</si>
  <si>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</si>
  <si>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</si>
  <si>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</si>
  <si>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</si>
  <si>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</si>
  <si>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</si>
  <si>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</si>
  <si>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</si>
  <si>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</si>
  <si>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</si>
  <si>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</si>
  <si>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</si>
  <si>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</si>
  <si>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</si>
  <si>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</si>
  <si>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</si>
  <si>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</si>
  <si>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</si>
  <si>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</si>
  <si>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</si>
  <si>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</si>
  <si>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</si>
  <si>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</si>
  <si>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</si>
  <si>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</si>
  <si>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</si>
  <si>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</si>
  <si>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</si>
  <si>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</si>
  <si>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</si>
  <si>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</si>
  <si>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</si>
  <si>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</si>
  <si>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</si>
  <si>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</si>
  <si>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</si>
  <si>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</si>
  <si>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</si>
  <si>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</si>
  <si>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</si>
  <si>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</si>
  <si>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</si>
  <si>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</si>
  <si>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</si>
  <si>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</si>
  <si>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</si>
  <si>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</si>
  <si>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</si>
  <si>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</si>
  <si>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</si>
  <si>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</si>
  <si>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</si>
  <si>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</si>
  <si>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</si>
  <si>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</si>
  <si>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</si>
  <si>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</si>
  <si>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</si>
  <si>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</si>
  <si>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</si>
  <si>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</si>
  <si>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</si>
  <si>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</si>
  <si>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</si>
  <si>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</si>
  <si>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</si>
  <si>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</si>
  <si>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</si>
  <si>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</si>
  <si>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</si>
  <si>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</si>
  <si>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</si>
  <si>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</si>
  <si>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</si>
  <si>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</si>
  <si>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</si>
  <si>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</si>
  <si>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</si>
  <si>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</si>
  <si>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</si>
  <si>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</si>
  <si>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</si>
  <si>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</si>
  <si>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</si>
  <si>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</si>
  <si>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</si>
  <si>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</si>
  <si>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</si>
  <si>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</si>
  <si>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</si>
  <si>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</si>
  <si>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</si>
  <si>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</si>
  <si>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</si>
  <si>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</si>
  <si>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</si>
  <si>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</si>
  <si>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</si>
  <si>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</si>
  <si>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</si>
  <si>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</si>
  <si>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</si>
  <si>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</si>
  <si>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</si>
  <si>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</si>
  <si>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</si>
  <si>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</si>
  <si>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</si>
  <si>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</si>
  <si>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</si>
  <si>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</si>
  <si>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</si>
  <si>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</si>
  <si>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</si>
  <si>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</si>
  <si>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</si>
  <si>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</si>
  <si>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</si>
  <si>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</si>
  <si>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</si>
  <si>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</si>
  <si>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</si>
  <si>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</si>
  <si>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</si>
  <si>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</si>
  <si>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</si>
  <si>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</si>
  <si>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</si>
  <si>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</si>
  <si>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</si>
  <si>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</si>
  <si>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</si>
  <si>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</si>
  <si>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</si>
  <si>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</si>
  <si>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</si>
  <si>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</si>
  <si>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</si>
  <si>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</si>
  <si>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</si>
  <si>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</si>
  <si>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</si>
  <si>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</si>
  <si>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</si>
  <si>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</si>
  <si>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</si>
  <si>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</si>
  <si>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</si>
  <si>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</si>
  <si>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</si>
  <si>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</si>
  <si>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</si>
  <si>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</si>
  <si>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</si>
  <si>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</si>
  <si>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</si>
  <si>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</si>
  <si>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</si>
  <si>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</si>
  <si>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</si>
  <si>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</si>
  <si>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</si>
  <si>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</si>
  <si>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</si>
  <si>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</si>
  <si>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</si>
  <si>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</si>
  <si>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</si>
  <si>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</si>
  <si>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</si>
  <si>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</si>
  <si>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</si>
  <si>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</si>
  <si>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</si>
  <si>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</si>
  <si>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</si>
  <si>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</si>
  <si>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</si>
  <si>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</si>
  <si>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</si>
  <si>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</si>
  <si>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</si>
  <si>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</si>
  <si>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</si>
  <si>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</si>
  <si>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</si>
  <si>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</si>
  <si>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</si>
  <si>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</si>
  <si>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</si>
  <si>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</si>
  <si>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</si>
  <si>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</si>
  <si>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</si>
  <si>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</si>
  <si>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</si>
  <si>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</si>
  <si>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</si>
  <si>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</si>
  <si>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</si>
  <si>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</si>
  <si>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</si>
  <si>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</si>
  <si>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</si>
  <si>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</si>
  <si>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</si>
  <si>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</si>
  <si>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</si>
  <si>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</si>
  <si>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</si>
  <si>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</si>
  <si>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</si>
  <si>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</si>
  <si>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</si>
  <si>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</si>
  <si>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</si>
  <si>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</si>
  <si>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</si>
  <si>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</si>
  <si>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</si>
  <si>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</si>
  <si>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</si>
  <si>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</si>
  <si>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</si>
  <si>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</si>
  <si>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</si>
  <si>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</si>
  <si>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</si>
  <si>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</si>
  <si>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</si>
  <si>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</si>
  <si>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</si>
  <si>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</si>
  <si>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</si>
  <si>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</si>
  <si>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</si>
  <si>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</si>
  <si>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</si>
  <si>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</si>
  <si>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</si>
  <si>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</si>
  <si>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</si>
  <si>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</si>
  <si>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</si>
  <si>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</si>
  <si>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</si>
  <si>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</si>
  <si>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</si>
  <si>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</si>
  <si>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</si>
  <si>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</si>
  <si>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</si>
  <si>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</si>
  <si>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</si>
  <si>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</si>
  <si>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</si>
  <si>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</si>
  <si>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</si>
  <si>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</si>
  <si>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</si>
  <si>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</si>
  <si>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</si>
  <si>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</si>
  <si>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</si>
  <si>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</si>
  <si>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</si>
  <si>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</si>
  <si>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</si>
  <si>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</si>
  <si>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</si>
  <si>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</si>
  <si>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</si>
  <si>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</si>
  <si>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</si>
  <si>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</si>
  <si>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</si>
  <si>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</si>
  <si>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</si>
  <si>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</si>
  <si>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</si>
  <si>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</si>
  <si>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</si>
  <si>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</si>
  <si>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</si>
  <si>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</si>
  <si>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</si>
  <si>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</si>
  <si>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</si>
  <si>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</si>
  <si>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</si>
  <si>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</si>
  <si>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</si>
  <si>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</si>
  <si>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</si>
  <si>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</si>
  <si>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</si>
  <si>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</si>
  <si>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</si>
  <si>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</si>
  <si>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</si>
  <si>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</si>
  <si>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</si>
  <si>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</si>
  <si>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</si>
  <si>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</si>
  <si>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</si>
  <si>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</si>
  <si>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</si>
  <si>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</si>
  <si>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</si>
  <si>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</si>
  <si>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</si>
  <si>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</si>
  <si>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</si>
  <si>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</si>
  <si>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</si>
  <si>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</si>
  <si>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</si>
  <si>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</si>
  <si>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</si>
  <si>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</si>
  <si>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</si>
  <si>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</si>
  <si>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</si>
  <si>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</si>
  <si>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</si>
  <si>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</si>
  <si>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</si>
  <si>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</si>
  <si>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</si>
  <si>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</si>
  <si>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</si>
  <si>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</si>
  <si>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</si>
  <si>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</si>
  <si>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</si>
  <si>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</si>
  <si>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</si>
  <si>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</si>
  <si>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</si>
  <si>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</si>
  <si>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</si>
  <si>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</si>
  <si>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</si>
  <si>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</si>
  <si>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</si>
  <si>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</si>
  <si>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</si>
  <si>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</si>
  <si>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</si>
  <si>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</si>
  <si>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</si>
  <si>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</si>
  <si>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</si>
  <si>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</si>
  <si>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</si>
  <si>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</si>
  <si>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</si>
  <si>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</si>
  <si>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</si>
  <si>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</si>
  <si>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</si>
  <si>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</si>
  <si>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</si>
  <si>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</si>
  <si>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</si>
  <si>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</si>
  <si>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</si>
  <si>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</si>
  <si>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</si>
  <si>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</si>
  <si>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</si>
  <si>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</si>
  <si>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</si>
  <si>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</si>
  <si>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</si>
  <si>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</si>
  <si>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</si>
  <si>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</si>
  <si>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</si>
  <si>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</si>
  <si>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</si>
  <si>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</si>
  <si>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</si>
  <si>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</si>
  <si>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</si>
  <si>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</si>
  <si>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</si>
  <si>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</si>
  <si>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</si>
  <si>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</si>
  <si>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</si>
  <si>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</si>
  <si>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</si>
  <si>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</si>
  <si>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</si>
  <si>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</si>
  <si>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</si>
  <si>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</si>
  <si>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</si>
  <si>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</si>
  <si>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</si>
  <si>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</si>
  <si>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</si>
  <si>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</si>
  <si>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</si>
  <si>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</si>
  <si>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</si>
  <si>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</si>
  <si>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</si>
  <si>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</si>
  <si>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</si>
  <si>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</si>
  <si>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</si>
  <si>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</si>
  <si>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</si>
  <si>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</si>
  <si>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</si>
  <si>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</si>
  <si>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</si>
  <si>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</si>
  <si>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</si>
  <si>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</si>
  <si>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</si>
  <si>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</si>
  <si>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</si>
  <si>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</si>
  <si>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</si>
  <si>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</si>
  <si>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</si>
  <si>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</si>
  <si>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</si>
  <si>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</si>
  <si>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</si>
  <si>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</si>
  <si>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</si>
  <si>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</si>
  <si>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</si>
  <si>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</si>
  <si>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</si>
  <si>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</si>
  <si>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</si>
  <si>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</si>
  <si>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</si>
  <si>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</si>
  <si>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</si>
  <si>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</si>
  <si>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</si>
  <si>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</si>
  <si>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</si>
  <si>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</si>
  <si>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</si>
  <si>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</si>
  <si>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</si>
  <si>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</si>
  <si>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</si>
  <si>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</si>
  <si>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</si>
  <si>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</si>
  <si>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</si>
  <si>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</si>
  <si>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</si>
  <si>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</si>
  <si>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</si>
  <si>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</si>
  <si>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</si>
  <si>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</si>
  <si>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</si>
  <si>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</si>
  <si>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</si>
  <si>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</si>
  <si>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</si>
  <si>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</si>
  <si>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</si>
  <si>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</si>
  <si>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</si>
  <si>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</si>
  <si>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</si>
  <si>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</si>
  <si>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</si>
  <si>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</si>
  <si>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</si>
  <si>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</si>
  <si>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</si>
  <si>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</si>
  <si>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</si>
  <si>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</si>
  <si>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</si>
  <si>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</si>
  <si>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</si>
  <si>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</si>
  <si>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</si>
  <si>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</si>
  <si>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</si>
  <si>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</si>
  <si>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</si>
  <si>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</si>
  <si>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</si>
  <si>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</si>
  <si>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</si>
  <si>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</si>
  <si>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</si>
  <si>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</si>
  <si>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</si>
  <si>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</si>
  <si>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</si>
  <si>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</si>
  <si>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</si>
  <si>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</si>
  <si>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</si>
  <si>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</si>
  <si>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</si>
  <si>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</si>
  <si>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</si>
  <si>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</si>
  <si>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</si>
  <si>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</si>
  <si>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</si>
  <si>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</si>
  <si>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</si>
  <si>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</si>
  <si>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</si>
  <si>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</si>
  <si>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</si>
  <si>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</si>
  <si>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</si>
  <si>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</si>
  <si>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</si>
  <si>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</si>
  <si>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</si>
  <si>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</si>
  <si>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</si>
  <si>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</si>
  <si>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</si>
  <si>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</si>
  <si>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</si>
  <si>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</si>
  <si>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</si>
  <si>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</si>
  <si>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</si>
  <si>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</si>
  <si>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</si>
  <si>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</si>
  <si>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</si>
  <si>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</si>
  <si>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</si>
  <si>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</si>
  <si>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</si>
  <si>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</si>
  <si>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</si>
  <si>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</si>
  <si>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</si>
  <si>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</si>
  <si>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</si>
  <si>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</si>
  <si>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</si>
  <si>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</si>
  <si>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</si>
  <si>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</si>
  <si>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</si>
  <si>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</si>
  <si>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</si>
  <si>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</si>
  <si>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</si>
  <si>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</si>
  <si>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</si>
  <si>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</si>
  <si>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</si>
  <si>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</si>
  <si>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</si>
  <si>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</si>
  <si>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</si>
  <si>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</si>
  <si>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</si>
  <si>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</si>
  <si>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</si>
  <si>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</si>
  <si>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</si>
  <si>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</si>
  <si>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</si>
  <si>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</si>
  <si>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</si>
  <si>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</si>
  <si>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</si>
  <si>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</si>
  <si>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</si>
  <si>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</si>
  <si>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</si>
  <si>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</si>
  <si>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</si>
  <si>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</si>
  <si>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</si>
  <si>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</si>
  <si>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</si>
  <si>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</si>
  <si>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</si>
  <si>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</si>
  <si>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</si>
  <si>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</si>
  <si>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</si>
  <si>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</si>
  <si>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</si>
  <si>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</si>
  <si>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</si>
  <si>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</si>
  <si>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</si>
  <si>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</si>
  <si>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</si>
  <si>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</si>
  <si>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</si>
  <si>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</si>
  <si>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</si>
  <si>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</si>
  <si>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</si>
  <si>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</si>
  <si>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</si>
  <si>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</si>
  <si>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</si>
  <si>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</si>
  <si>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</si>
  <si>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</si>
  <si>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</si>
  <si>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</si>
  <si>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</si>
  <si>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</si>
  <si>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</si>
  <si>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</si>
  <si>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</si>
  <si>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</si>
  <si>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</si>
  <si>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</si>
  <si>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</si>
  <si>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</si>
  <si>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</si>
  <si>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</si>
  <si>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</si>
  <si>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</si>
  <si>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</si>
  <si>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</si>
  <si>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</si>
  <si>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</si>
  <si>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</si>
  <si>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</si>
  <si>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</si>
  <si>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</si>
  <si>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</si>
  <si>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</si>
  <si>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</si>
  <si>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</si>
  <si>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</si>
  <si>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</si>
  <si>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</si>
  <si>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</si>
  <si>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</si>
  <si>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</si>
  <si>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</si>
  <si>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</si>
  <si>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</si>
  <si>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</si>
  <si>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</si>
  <si>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</si>
  <si>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</si>
  <si>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</si>
  <si>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</si>
  <si>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</si>
  <si>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</si>
  <si>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</si>
  <si>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</si>
  <si>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</si>
  <si>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</si>
  <si>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</si>
  <si>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</si>
  <si>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</si>
  <si>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</si>
  <si>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</si>
  <si>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</si>
  <si>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</si>
  <si>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</si>
  <si>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</si>
  <si>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</si>
  <si>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</si>
  <si>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</si>
  <si>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</si>
  <si>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</si>
  <si>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</si>
  <si>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</si>
  <si>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</si>
  <si>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</si>
  <si>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</si>
  <si>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</si>
  <si>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</si>
  <si>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</si>
  <si>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</si>
  <si>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</si>
  <si>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</si>
  <si>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</si>
  <si>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</si>
  <si>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</si>
  <si>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</si>
  <si>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</si>
  <si>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</si>
  <si>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</si>
  <si>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</si>
  <si>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</si>
  <si>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</si>
  <si>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</si>
  <si>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</si>
  <si>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</si>
  <si>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</si>
  <si>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</si>
  <si>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</si>
  <si>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</si>
  <si>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</si>
  <si>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</si>
  <si>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</si>
  <si>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</si>
  <si>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</si>
  <si>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</si>
  <si>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</si>
  <si>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</si>
  <si>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</si>
  <si>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</si>
  <si>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</si>
  <si>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</si>
  <si>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</si>
  <si>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</si>
  <si>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</si>
  <si>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</si>
  <si>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</si>
  <si>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</si>
  <si>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</si>
  <si>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</si>
  <si>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</si>
  <si>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</si>
  <si>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</si>
  <si>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</si>
  <si>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</si>
  <si>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</si>
  <si>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</si>
  <si>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</si>
  <si>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</si>
  <si>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</si>
  <si>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</si>
  <si>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</si>
  <si>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</si>
  <si>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</si>
  <si>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</si>
  <si>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</si>
  <si>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</si>
  <si>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</si>
  <si>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</si>
  <si>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</si>
  <si>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</si>
  <si>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</si>
  <si>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</si>
  <si>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</si>
  <si>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</si>
  <si>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</si>
  <si>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</si>
  <si>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</si>
  <si>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</si>
  <si>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</si>
  <si>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</si>
  <si>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</si>
  <si>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</si>
  <si>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</si>
  <si>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</si>
  <si>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</si>
  <si>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</si>
  <si>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</si>
  <si>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</si>
  <si>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</si>
  <si>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</si>
  <si>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</si>
  <si>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</si>
  <si>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</si>
  <si>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</si>
  <si>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</si>
  <si>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</si>
  <si>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</si>
  <si>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</si>
  <si>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</si>
  <si>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</si>
  <si>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</si>
  <si>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</si>
  <si>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</si>
  <si>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</si>
  <si>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</si>
  <si>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</si>
  <si>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</si>
  <si>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</si>
  <si>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</si>
  <si>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</si>
  <si>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</si>
  <si>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</si>
  <si>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</si>
  <si>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</si>
  <si>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</si>
  <si>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</si>
  <si>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</si>
  <si>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</si>
  <si>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</si>
  <si>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</si>
  <si>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</si>
  <si>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</si>
  <si>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</si>
  <si>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</si>
  <si>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</si>
  <si>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</si>
  <si>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</si>
  <si>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</si>
  <si>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</si>
  <si>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</si>
  <si>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</si>
  <si>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</si>
  <si>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</si>
  <si>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</si>
  <si>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</si>
  <si>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</si>
  <si>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</si>
  <si>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</si>
  <si>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</si>
  <si>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</si>
  <si>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</si>
  <si>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</si>
  <si>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</si>
  <si>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</si>
  <si>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</si>
  <si>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</si>
  <si>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</si>
  <si>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</si>
  <si>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</si>
  <si>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</si>
  <si>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</si>
  <si>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</si>
  <si>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</si>
  <si>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</si>
  <si>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</si>
  <si>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</si>
  <si>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</si>
  <si>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</si>
  <si>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</si>
  <si>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</si>
  <si>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</si>
  <si>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</si>
  <si>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</si>
  <si>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</si>
  <si>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</si>
  <si>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</si>
  <si>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</si>
  <si>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</si>
  <si>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</si>
  <si>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</si>
  <si>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</si>
  <si>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</si>
  <si>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</si>
  <si>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</si>
  <si>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</si>
  <si>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</si>
  <si>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</si>
  <si>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</si>
  <si>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</si>
  <si>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</si>
  <si>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</si>
  <si>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</si>
  <si>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</si>
  <si>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</si>
  <si>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</si>
  <si>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</si>
  <si>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</si>
  <si>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</si>
  <si>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</si>
  <si>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</si>
  <si>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</si>
  <si>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</si>
  <si>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</si>
  <si>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</si>
  <si>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</si>
  <si>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</si>
  <si>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</si>
  <si>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</si>
  <si>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</si>
  <si>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</si>
  <si>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</si>
  <si>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</si>
  <si>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</si>
  <si>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</si>
  <si>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</si>
  <si>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</si>
  <si>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</si>
  <si>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</si>
  <si>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</si>
  <si>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</si>
  <si>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</si>
  <si>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</si>
  <si>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</si>
  <si>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</si>
  <si>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</si>
  <si>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</si>
  <si>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</si>
  <si>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</si>
  <si>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</si>
  <si>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</si>
  <si>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</si>
  <si>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</si>
  <si>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</si>
  <si>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</si>
  <si>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</si>
  <si>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</si>
  <si>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</si>
  <si>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</si>
  <si>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</si>
  <si>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</si>
  <si>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</si>
  <si>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</si>
  <si>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</si>
  <si>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</si>
  <si>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</si>
  <si>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</si>
  <si>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</si>
  <si>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</si>
  <si>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</si>
  <si>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</si>
  <si>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</si>
  <si>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</si>
  <si>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</si>
  <si>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</si>
  <si>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</si>
  <si>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</si>
  <si>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</si>
  <si>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</si>
  <si>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</si>
  <si>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</si>
  <si>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</si>
  <si>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</si>
  <si>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</si>
  <si>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</si>
  <si>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</si>
  <si>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</si>
  <si>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</si>
  <si>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</si>
  <si>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</si>
  <si>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</si>
  <si>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</si>
  <si>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</si>
  <si>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</si>
  <si>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</si>
  <si>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</si>
  <si>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</si>
  <si>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</si>
  <si>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</si>
  <si>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</si>
  <si>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</si>
  <si>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</si>
  <si>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</si>
  <si>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</si>
  <si>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</si>
  <si>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</si>
  <si>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</si>
  <si>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</si>
  <si>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</si>
  <si>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</si>
  <si>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</si>
  <si>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</si>
  <si>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</si>
  <si>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</si>
  <si>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</si>
  <si>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</si>
  <si>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</si>
  <si>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</si>
  <si>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</si>
  <si>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</si>
  <si>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</si>
  <si>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</si>
  <si>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</si>
  <si>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</si>
  <si>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</si>
  <si>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</si>
  <si>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</si>
  <si>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</si>
  <si>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</si>
  <si>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</si>
  <si>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</si>
  <si>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</si>
  <si>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</si>
  <si>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</si>
  <si>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</si>
  <si>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</si>
  <si>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</si>
  <si>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</si>
  <si>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</si>
  <si>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</si>
  <si>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</si>
  <si>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</si>
  <si>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</si>
  <si>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</si>
  <si>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</si>
  <si>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</si>
  <si>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</si>
  <si>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</si>
  <si>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</si>
  <si>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</si>
  <si>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</si>
  <si>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</si>
  <si>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</si>
  <si>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</si>
  <si>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</si>
  <si>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</si>
  <si>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</si>
  <si>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</si>
  <si>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</si>
  <si>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</si>
  <si>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</si>
  <si>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</si>
  <si>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</si>
  <si>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</si>
  <si>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</si>
  <si>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</si>
  <si>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</si>
  <si>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</si>
  <si>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</si>
  <si>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</si>
  <si>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</si>
  <si>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</si>
  <si>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</si>
  <si>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</si>
  <si>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</si>
  <si>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</si>
  <si>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</si>
  <si>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</si>
  <si>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</si>
  <si>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</si>
  <si>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</si>
  <si>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</si>
  <si>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</si>
  <si>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</si>
  <si>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</si>
  <si>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</si>
  <si>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</si>
  <si>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</si>
  <si>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</si>
  <si>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</si>
  <si>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</si>
  <si>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</si>
  <si>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</si>
  <si>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</si>
  <si>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</si>
  <si>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</si>
  <si>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</si>
  <si>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</si>
  <si>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</si>
  <si>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</si>
  <si>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</si>
  <si>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</si>
  <si>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</si>
  <si>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</si>
  <si>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</si>
  <si>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</si>
  <si>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</si>
  <si>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</si>
  <si>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</si>
  <si>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</si>
  <si>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</si>
  <si>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</si>
  <si>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</si>
  <si>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</si>
  <si>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</si>
  <si>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</si>
  <si>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</si>
  <si>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</si>
  <si>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</si>
  <si>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</si>
  <si>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</si>
  <si>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</si>
  <si>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</si>
  <si>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</si>
  <si>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</si>
  <si>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</si>
  <si>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</si>
  <si>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</si>
  <si>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</si>
  <si>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</si>
  <si>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</si>
  <si>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</si>
  <si>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</si>
  <si>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</si>
  <si>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</si>
  <si>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</si>
  <si>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</si>
  <si>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</si>
  <si>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</si>
  <si>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</si>
  <si>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</si>
  <si>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</si>
  <si>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</si>
  <si>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</si>
  <si>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</si>
  <si>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</si>
  <si>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</si>
  <si>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</si>
  <si>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</si>
  <si>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</si>
  <si>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</si>
  <si>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</si>
  <si>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</si>
  <si>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</si>
  <si>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</si>
  <si>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</si>
  <si>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</si>
  <si>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</si>
  <si>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</si>
  <si>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</si>
  <si>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</si>
  <si>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</si>
  <si>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</si>
  <si>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</si>
  <si>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</si>
  <si>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</si>
  <si>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</si>
  <si>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</si>
  <si>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</si>
  <si>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</si>
  <si>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</si>
  <si>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</si>
  <si>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</si>
  <si>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</si>
  <si>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</si>
  <si>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</si>
  <si>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</si>
  <si>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</si>
  <si>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</si>
  <si>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</si>
  <si>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</si>
  <si>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</si>
  <si>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</si>
  <si>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</si>
  <si>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</si>
  <si>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</si>
  <si>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</si>
  <si>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</si>
  <si>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</si>
  <si>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</si>
  <si>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</si>
  <si>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</si>
  <si>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</si>
  <si>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</si>
  <si>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</si>
  <si>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</si>
  <si>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</si>
  <si>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</si>
  <si>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</si>
  <si>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</si>
  <si>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</si>
  <si>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</si>
  <si>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</si>
  <si>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</si>
  <si>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</si>
  <si>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</si>
  <si>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</si>
  <si>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</si>
  <si>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</si>
  <si>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</si>
  <si>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</si>
  <si>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</si>
  <si>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</si>
  <si>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</si>
  <si>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</si>
  <si>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</si>
  <si>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</si>
  <si>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</si>
  <si>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</si>
  <si>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</si>
  <si>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</si>
  <si>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</si>
  <si>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</si>
  <si>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</si>
  <si>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</si>
  <si>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</si>
  <si>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</si>
  <si>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</si>
  <si>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</si>
  <si>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</si>
  <si>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</si>
  <si>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</si>
  <si>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</si>
  <si>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</si>
  <si>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</si>
  <si>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</si>
  <si>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</si>
  <si>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</si>
  <si>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</si>
  <si>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</si>
  <si>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</si>
  <si>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</si>
  <si>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</si>
  <si>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</si>
  <si>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</si>
  <si>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</si>
  <si>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</si>
  <si>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</si>
  <si>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</si>
  <si>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</si>
  <si>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</si>
  <si>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</si>
  <si>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</si>
  <si>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</si>
  <si>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</si>
  <si>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</si>
  <si>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</si>
  <si>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</si>
  <si>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</si>
  <si>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</si>
  <si>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</si>
  <si>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</si>
  <si>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</si>
  <si>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</si>
  <si>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</si>
  <si>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</si>
  <si>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</si>
  <si>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</si>
  <si>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</si>
  <si>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</si>
  <si>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</si>
  <si>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</si>
  <si>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</si>
  <si>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</si>
  <si>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</si>
  <si>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</si>
  <si>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</si>
  <si>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</si>
  <si>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</si>
  <si>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</si>
  <si>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</si>
  <si>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</si>
  <si>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</si>
  <si>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Connection Technology Center</t>
  </si>
  <si>
    <t>Vibration Analysis Software</t>
  </si>
  <si>
    <t>7939 Rae Blvd</t>
  </si>
  <si>
    <t>Colin Walker</t>
  </si>
  <si>
    <t>cwalker@ctconline.com</t>
  </si>
  <si>
    <t>585-924-5900</t>
  </si>
  <si>
    <t>Quality Assurance and Regulatory Affairs Manager</t>
  </si>
  <si>
    <t>CFSI</t>
  </si>
  <si>
    <t>Yunnan</t>
  </si>
  <si>
    <t>PT Timah (Persero) Tbk Mentok</t>
  </si>
  <si>
    <t>Longtan Shiang Taoyuang</t>
  </si>
  <si>
    <t>Taiwan</t>
  </si>
  <si>
    <t>Alldyne Powder Technology</t>
  </si>
  <si>
    <t/>
  </si>
  <si>
    <t>EcoMetals</t>
  </si>
  <si>
    <t>HC Starck GmbH</t>
  </si>
  <si>
    <t>CID000683</t>
  </si>
  <si>
    <t>Kennametal (former ATI Tungsten Materials)</t>
  </si>
  <si>
    <t>Metal-Tech America</t>
  </si>
  <si>
    <t>Multi-Metals</t>
  </si>
  <si>
    <t>NOC Metals</t>
  </si>
  <si>
    <t>Sandvik</t>
  </si>
  <si>
    <t>Ugitech SA</t>
  </si>
  <si>
    <t>Zhuzhou Cemented Carbide Group Co Ltd</t>
  </si>
  <si>
    <t>CID002236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</si>
</sst>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0">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alker@ctconlin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alker@ctc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68">
        <v>2.0099999999999998</v>
      </c>
      <c r="C15" s="359" t="s">
        <v>1208</v>
      </c>
      <c r="D15" s="371" t="s">
        <v>2686</v>
      </c>
      <c r="E15" s="197" t="s">
        <v>703</v>
      </c>
      <c r="F15" s="197" t="s">
        <v>706</v>
      </c>
      <c r="G15" s="34"/>
    </row>
    <row r="16" spans="1:7" ht="99" customHeight="1">
      <c r="A16" s="362"/>
      <c r="B16" s="369"/>
      <c r="C16" s="360"/>
      <c r="D16" s="372"/>
      <c r="E16" s="198"/>
      <c r="F16" s="198" t="s">
        <v>704</v>
      </c>
      <c r="G16" s="34"/>
    </row>
    <row r="17" spans="1:7" ht="63" customHeight="1">
      <c r="A17" s="362"/>
      <c r="B17" s="370"/>
      <c r="C17" s="361"/>
      <c r="D17" s="373"/>
      <c r="E17" s="37"/>
      <c r="F17" s="37" t="s">
        <v>705</v>
      </c>
      <c r="G17" s="34"/>
    </row>
    <row r="18" spans="1:7" ht="117" customHeight="1">
      <c r="A18" s="362"/>
      <c r="B18" s="368">
        <v>2.02</v>
      </c>
      <c r="C18" s="359" t="s">
        <v>1208</v>
      </c>
      <c r="D18" s="371" t="s">
        <v>2687</v>
      </c>
      <c r="E18" s="197" t="s">
        <v>507</v>
      </c>
      <c r="F18" s="197" t="s">
        <v>596</v>
      </c>
      <c r="G18" s="34"/>
    </row>
    <row r="19" spans="1:7" ht="71.099999999999994" customHeight="1">
      <c r="A19" s="362"/>
      <c r="B19" s="369"/>
      <c r="C19" s="360"/>
      <c r="D19" s="372"/>
      <c r="E19" s="198" t="s">
        <v>601</v>
      </c>
      <c r="F19" s="198" t="s">
        <v>508</v>
      </c>
      <c r="G19" s="34"/>
    </row>
    <row r="20" spans="1:7" ht="90.75" customHeight="1">
      <c r="A20" s="362"/>
      <c r="B20" s="369"/>
      <c r="C20" s="360"/>
      <c r="D20" s="372"/>
      <c r="E20" s="198"/>
      <c r="F20" s="198" t="s">
        <v>708</v>
      </c>
      <c r="G20" s="34"/>
    </row>
    <row r="21" spans="1:7" ht="74.25" customHeight="1">
      <c r="A21" s="362"/>
      <c r="B21" s="370"/>
      <c r="C21" s="361"/>
      <c r="D21" s="373"/>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68" t="s">
        <v>74</v>
      </c>
      <c r="D26" s="371" t="s">
        <v>2690</v>
      </c>
      <c r="E26" s="359" t="s">
        <v>0</v>
      </c>
      <c r="F26" s="197" t="s">
        <v>68</v>
      </c>
      <c r="G26" s="34"/>
    </row>
    <row r="27" spans="1:7" ht="90" customHeight="1">
      <c r="A27" s="362"/>
      <c r="B27" s="351"/>
      <c r="C27" s="369"/>
      <c r="D27" s="372"/>
      <c r="E27" s="360"/>
      <c r="F27" s="198" t="s">
        <v>63</v>
      </c>
      <c r="G27" s="34"/>
    </row>
    <row r="28" spans="1:7" ht="19.350000000000001" customHeight="1">
      <c r="A28" s="362"/>
      <c r="B28" s="351"/>
      <c r="C28" s="369"/>
      <c r="D28" s="372"/>
      <c r="E28" s="360"/>
      <c r="F28" s="198" t="s">
        <v>64</v>
      </c>
      <c r="G28" s="34"/>
    </row>
    <row r="29" spans="1:7" ht="74.45" customHeight="1">
      <c r="A29" s="362"/>
      <c r="B29" s="351"/>
      <c r="C29" s="369"/>
      <c r="D29" s="372"/>
      <c r="E29" s="360"/>
      <c r="F29" s="198" t="s">
        <v>65</v>
      </c>
      <c r="G29" s="34"/>
    </row>
    <row r="30" spans="1:7" ht="62.45" customHeight="1">
      <c r="A30" s="362"/>
      <c r="B30" s="351"/>
      <c r="C30" s="369"/>
      <c r="D30" s="372"/>
      <c r="E30" s="360"/>
      <c r="F30" s="198" t="s">
        <v>66</v>
      </c>
      <c r="G30" s="34"/>
    </row>
    <row r="31" spans="1:7" ht="81" customHeight="1">
      <c r="A31" s="362"/>
      <c r="B31" s="351"/>
      <c r="C31" s="369"/>
      <c r="D31" s="372"/>
      <c r="E31" s="360"/>
      <c r="F31" s="198" t="s">
        <v>67</v>
      </c>
      <c r="G31" s="34"/>
    </row>
    <row r="32" spans="1:7" ht="48.75" customHeight="1">
      <c r="A32" s="362"/>
      <c r="B32" s="351"/>
      <c r="C32" s="369"/>
      <c r="D32" s="372"/>
      <c r="E32" s="360"/>
      <c r="F32" s="198" t="s">
        <v>70</v>
      </c>
      <c r="G32" s="34"/>
    </row>
    <row r="33" spans="1:7" ht="98.45" customHeight="1">
      <c r="A33" s="362"/>
      <c r="B33" s="351"/>
      <c r="C33" s="369"/>
      <c r="D33" s="372"/>
      <c r="E33" s="360"/>
      <c r="F33" s="198" t="s">
        <v>69</v>
      </c>
      <c r="G33" s="34"/>
    </row>
    <row r="34" spans="1:7" ht="89.1" customHeight="1">
      <c r="A34" s="362"/>
      <c r="B34" s="351"/>
      <c r="C34" s="369"/>
      <c r="D34" s="372"/>
      <c r="E34" s="360"/>
      <c r="F34" s="198" t="s">
        <v>71</v>
      </c>
      <c r="G34" s="34"/>
    </row>
    <row r="35" spans="1:7" ht="29.1" customHeight="1">
      <c r="A35" s="362"/>
      <c r="B35" s="351"/>
      <c r="C35" s="369"/>
      <c r="D35" s="372"/>
      <c r="E35" s="360"/>
      <c r="F35" s="198" t="s">
        <v>72</v>
      </c>
      <c r="G35" s="34"/>
    </row>
    <row r="36" spans="1:7" ht="126.75">
      <c r="A36" s="362"/>
      <c r="B36" s="352"/>
      <c r="C36" s="370"/>
      <c r="D36" s="373"/>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7"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4"/>
      <c r="B1" s="375"/>
      <c r="C1" s="375"/>
      <c r="D1" s="376"/>
    </row>
    <row r="2" spans="1:5" ht="71.25" customHeight="1">
      <c r="A2" s="90"/>
      <c r="B2" s="171" t="str">
        <f ca="1">OFFSET(L!$C$1,MATCH("Definitions"&amp;ADDRESS(ROW(),COLUMN(),4),L!$A:$A,0)-1,SL,,)</f>
        <v>ITEM</v>
      </c>
      <c r="C2" s="171" t="str">
        <f ca="1">OFFSET(L!$C$1,MATCH("Definitions"&amp;ADDRESS(ROW(),COLUMN(),4),L!$A:$A,0)-1,SL,,)</f>
        <v>DEFINITION</v>
      </c>
      <c r="D2" s="378"/>
      <c r="E2" s="131"/>
    </row>
    <row r="3" spans="1:5" ht="63.95" customHeight="1">
      <c r="A3" s="90"/>
      <c r="B3" s="77" t="str">
        <f ca="1">OFFSET(L!$C$1,MATCH("Definitions"&amp;ADDRESS(ROW(),COLUMN(),4),L!$A:$A,0)-1,SL,,)</f>
        <v>3TG</v>
      </c>
      <c r="C3" s="77" t="str">
        <f ca="1">OFFSET(L!$C$1,MATCH("Definitions"&amp;ADDRESS(ROW(),COLUMN(),4),L!$A:$A,0)-1,SL,,)</f>
        <v>Tantalum, tin, tungsten, gold</v>
      </c>
      <c r="D3" s="37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8"/>
      <c r="E8" s="132" t="s">
        <v>1443</v>
      </c>
    </row>
    <row r="9" spans="1:5" ht="45">
      <c r="A9" s="90"/>
      <c r="B9" s="77" t="str">
        <f ca="1">OFFSET(L!$C$1,MATCH("Definitions"&amp;ADDRESS(ROW(),COLUMN(),4),L!$A:$A,0)-1,SL,,)</f>
        <v>DRC</v>
      </c>
      <c r="C9" s="77" t="str">
        <f ca="1">OFFSET(L!$C$1,MATCH("Definitions"&amp;ADDRESS(ROW(),COLUMN(),4),L!$A:$A,0)-1,SL,,)</f>
        <v>Democratic Republic of Congo</v>
      </c>
      <c r="D9" s="37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8"/>
      <c r="E19" s="132"/>
    </row>
    <row r="20" spans="1:5" ht="15">
      <c r="A20" s="90"/>
      <c r="B20" s="77" t="str">
        <f ca="1">OFFSET(L!$C$1,MATCH("Definitions"&amp;ADDRESS(ROW(),COLUMN(),4),L!$A:$A,0)-1,SL,,)</f>
        <v>RBA</v>
      </c>
      <c r="C20" s="77" t="str">
        <f ca="1">OFFSET(L!$C$1,MATCH("Definitions"&amp;ADDRESS(ROW(),COLUMN(),4),L!$A:$A,0)-1,SL,,)</f>
        <v>Responsible Business Alliance (www.responsiblebusiness.org)</v>
      </c>
      <c r="D20" s="37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2"/>
    </row>
    <row r="31" spans="1:5" ht="15">
      <c r="A31" s="90"/>
      <c r="B31" s="377" t="str">
        <f ca="1">OFFSET(L!$C$1,MATCH("General"&amp;"Cpy",L!$A:$A,0)-1,SL,,)</f>
        <v>© 2019 Responsible Minerals Initiative. All rights reserved.</v>
      </c>
      <c r="C31" s="377"/>
      <c r="D31" s="378"/>
      <c r="E31" s="132"/>
    </row>
    <row r="32" spans="1:5" ht="13.5" thickBot="1">
      <c r="A32" s="91"/>
      <c r="B32" s="187"/>
      <c r="C32" s="187"/>
      <c r="D32" s="379"/>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2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6" zoomScaleNormal="100" zoomScalePageLayoutView="70" workbookViewId="0">
      <selection activeCell="D44" sqref="D44:E4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4"/>
      <c r="G3" s="424"/>
      <c r="H3" s="424"/>
      <c r="I3" s="186"/>
      <c r="J3" s="172" t="s">
        <v>15472</v>
      </c>
      <c r="K3" s="47"/>
      <c r="L3" s="143"/>
      <c r="M3" s="134"/>
      <c r="N3" s="134"/>
      <c r="O3" s="135"/>
      <c r="P3" s="148">
        <f>MATCH($D$3,LN,0)</f>
        <v>1</v>
      </c>
    </row>
    <row r="4" spans="1:34" ht="15.75">
      <c r="A4" s="45"/>
      <c r="B4" s="420" t="str">
        <f ca="1">OFFSET(L!$C$1,MATCH("Declaration"&amp;ADDRESS(ROW(),COLUMN(),4),L!$A:$A,0)-1,SL,,)</f>
        <v>The purpose of this document is to collect sourcing information on tin, tantalum, tungsten and gold used in products</v>
      </c>
      <c r="C4" s="420"/>
      <c r="D4" s="420"/>
      <c r="E4" s="420"/>
      <c r="F4" s="420"/>
      <c r="G4" s="420"/>
      <c r="H4" s="420"/>
      <c r="I4" s="425" t="str">
        <f ca="1">OFFSET(L!$C$1,MATCH("Declaration"&amp;ADDRESS(ROW(),COLUMN(),4),L!$A:$A,0)-1,SL,,)</f>
        <v>Link to Terms &amp; Conditions</v>
      </c>
      <c r="J4" s="42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0" t="str">
        <f ca="1">OFFSET(L!$C$1,MATCH("Declaration"&amp;ADDRESS(ROW(),COLUMN(),4),L!$A:$A,0)-1,SL,,)</f>
        <v>Mandatory fields are noted with an asterisk (*).  Consult the instructions tab for guidance on how to answer each question.</v>
      </c>
      <c r="C6" s="420"/>
      <c r="D6" s="420"/>
      <c r="E6" s="420"/>
      <c r="F6" s="420"/>
      <c r="G6" s="420"/>
      <c r="H6" s="420"/>
      <c r="I6" s="420"/>
      <c r="J6" s="42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9" t="str">
        <f ca="1">OFFSET(L!$C$1,MATCH("Declaration"&amp;ADDRESS(ROW(),COLUMN(),4),L!$A:$A,0)-1,SL,,)</f>
        <v>Company Information</v>
      </c>
      <c r="C7" s="429"/>
      <c r="D7" s="429"/>
      <c r="E7" s="429"/>
      <c r="F7" s="429"/>
      <c r="G7" s="429"/>
      <c r="H7" s="429"/>
      <c r="I7" s="429"/>
      <c r="J7" s="429"/>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7" t="s">
        <v>15494</v>
      </c>
      <c r="E8" s="418"/>
      <c r="F8" s="418"/>
      <c r="G8" s="418"/>
      <c r="H8" s="418"/>
      <c r="I8" s="418"/>
      <c r="J8" s="419"/>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6" t="s">
        <v>564</v>
      </c>
      <c r="E9" s="427"/>
      <c r="F9" s="427"/>
      <c r="G9" s="428"/>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0" t="str">
        <f ca="1">OFFSET(L!$C$1,MATCH("Declaration"&amp;ADDRESS(ROW(),COLUMN(),4)&amp;LEFT($D$9,1),L!$A:$A,0)-1,SL,,)</f>
        <v>Description of Scope:</v>
      </c>
      <c r="C10" s="155"/>
      <c r="D10" s="421" t="s">
        <v>15495</v>
      </c>
      <c r="E10" s="422"/>
      <c r="F10" s="422"/>
      <c r="G10" s="422"/>
      <c r="H10" s="422"/>
      <c r="I10" s="422"/>
      <c r="J10" s="42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1"/>
      <c r="C11" s="155"/>
      <c r="D11" s="395" t="str">
        <f ca="1">IF(D9=Q9,OFFSET(L!$C$1,MATCH("Declaration"&amp;ADDRESS(ROW(),COLUMN(),4),L!$A:$A,0)-1,SL,,),"")</f>
        <v/>
      </c>
      <c r="E11" s="396"/>
      <c r="F11" s="396"/>
      <c r="G11" s="396"/>
      <c r="H11" s="396"/>
      <c r="I11" s="396"/>
      <c r="J11" s="397"/>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4"/>
      <c r="E12" s="405"/>
      <c r="F12" s="405"/>
      <c r="G12" s="405"/>
      <c r="H12" s="405"/>
      <c r="I12" s="405"/>
      <c r="J12" s="406"/>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c r="E13" s="405"/>
      <c r="F13" s="405"/>
      <c r="G13" s="405"/>
      <c r="H13" s="405"/>
      <c r="I13" s="405"/>
      <c r="J13" s="40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4" t="s">
        <v>15496</v>
      </c>
      <c r="E14" s="405"/>
      <c r="F14" s="405"/>
      <c r="G14" s="405"/>
      <c r="H14" s="405"/>
      <c r="I14" s="405"/>
      <c r="J14" s="40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4" t="s">
        <v>15497</v>
      </c>
      <c r="E15" s="405"/>
      <c r="F15" s="405"/>
      <c r="G15" s="405"/>
      <c r="H15" s="405"/>
      <c r="I15" s="405"/>
      <c r="J15" s="40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2" t="s">
        <v>15498</v>
      </c>
      <c r="E16" s="433"/>
      <c r="F16" s="433"/>
      <c r="G16" s="433"/>
      <c r="H16" s="433"/>
      <c r="I16" s="433"/>
      <c r="J16" s="43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4" t="s">
        <v>15499</v>
      </c>
      <c r="E17" s="405"/>
      <c r="F17" s="405"/>
      <c r="G17" s="405"/>
      <c r="H17" s="405"/>
      <c r="I17" s="405"/>
      <c r="J17" s="40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4" t="s">
        <v>15497</v>
      </c>
      <c r="E18" s="405"/>
      <c r="F18" s="405"/>
      <c r="G18" s="405"/>
      <c r="H18" s="405"/>
      <c r="I18" s="405"/>
      <c r="J18" s="40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4" t="s">
        <v>15500</v>
      </c>
      <c r="E19" s="405"/>
      <c r="F19" s="405"/>
      <c r="G19" s="405"/>
      <c r="H19" s="405"/>
      <c r="I19" s="405"/>
      <c r="J19" s="40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2" t="s">
        <v>15498</v>
      </c>
      <c r="E20" s="433"/>
      <c r="F20" s="433"/>
      <c r="G20" s="433"/>
      <c r="H20" s="433"/>
      <c r="I20" s="433"/>
      <c r="J20" s="43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4" t="s">
        <v>15499</v>
      </c>
      <c r="E21" s="405"/>
      <c r="F21" s="405"/>
      <c r="G21" s="405"/>
      <c r="H21" s="405"/>
      <c r="I21" s="405"/>
      <c r="J21" s="40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5">
        <v>43809</v>
      </c>
      <c r="E22" s="436"/>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7" t="str">
        <f ca="1">OFFSET(L!$C$1,MATCH("Declaration"&amp;ADDRESS(ROW(),COLUMN(),4),L!$A:$A,0)-1,SL,,)</f>
        <v>Answer the following questions 1 - 7 based on the declaration scope indicated above</v>
      </c>
      <c r="C24" s="437"/>
      <c r="D24" s="437"/>
      <c r="E24" s="437"/>
      <c r="F24" s="437"/>
      <c r="G24" s="437"/>
      <c r="H24" s="437"/>
      <c r="I24" s="437"/>
      <c r="J24" s="437"/>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4" t="str">
        <f ca="1">OFFSET(L!$C$1,MATCH("Declaration"&amp;ADDRESS(ROW(),COLUMN(),4),L!$A:$A,0)-1,SL,,)</f>
        <v>Answer</v>
      </c>
      <c r="E25" s="394"/>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0" t="s">
        <v>559</v>
      </c>
      <c r="E26" s="381"/>
      <c r="F26" s="15"/>
      <c r="G26" s="382"/>
      <c r="H26" s="383"/>
      <c r="I26" s="383"/>
      <c r="J26" s="384"/>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0" t="s">
        <v>558</v>
      </c>
      <c r="E27" s="381"/>
      <c r="F27" s="15"/>
      <c r="G27" s="382"/>
      <c r="H27" s="383"/>
      <c r="I27" s="383"/>
      <c r="J27" s="38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0" t="s">
        <v>558</v>
      </c>
      <c r="E28" s="381"/>
      <c r="F28" s="15"/>
      <c r="G28" s="382"/>
      <c r="H28" s="383"/>
      <c r="I28" s="383"/>
      <c r="J28" s="38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0" t="s">
        <v>558</v>
      </c>
      <c r="E29" s="381"/>
      <c r="F29" s="15"/>
      <c r="G29" s="382"/>
      <c r="H29" s="383"/>
      <c r="I29" s="383"/>
      <c r="J29" s="38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0" t="str">
        <f ca="1">D25</f>
        <v>Answer</v>
      </c>
      <c r="E31" s="400"/>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8" t="s">
        <v>559</v>
      </c>
      <c r="E32" s="399"/>
      <c r="F32" s="58"/>
      <c r="G32" s="382"/>
      <c r="H32" s="383"/>
      <c r="I32" s="383"/>
      <c r="J32" s="384"/>
      <c r="K32" s="47"/>
      <c r="L32" s="146"/>
      <c r="M32" s="136"/>
      <c r="N32" s="134"/>
      <c r="O32" s="135"/>
      <c r="P32" s="148"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0" t="s">
        <v>558</v>
      </c>
      <c r="E33" s="381"/>
      <c r="F33" s="58"/>
      <c r="G33" s="382"/>
      <c r="H33" s="383"/>
      <c r="I33" s="383"/>
      <c r="J33" s="38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0" t="s">
        <v>558</v>
      </c>
      <c r="E34" s="381"/>
      <c r="F34" s="58"/>
      <c r="G34" s="382"/>
      <c r="H34" s="383"/>
      <c r="I34" s="383"/>
      <c r="J34" s="38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0" t="s">
        <v>558</v>
      </c>
      <c r="E35" s="381"/>
      <c r="F35" s="58"/>
      <c r="G35" s="382"/>
      <c r="H35" s="383"/>
      <c r="I35" s="383"/>
      <c r="J35" s="38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0" t="str">
        <f ca="1">D25</f>
        <v>Answer</v>
      </c>
      <c r="E37" s="400"/>
      <c r="F37" s="21"/>
      <c r="G37" s="55" t="str">
        <f ca="1">G25</f>
        <v>Comments</v>
      </c>
      <c r="H37" s="403"/>
      <c r="I37" s="403"/>
      <c r="J37" s="403"/>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0"/>
      <c r="E38" s="381"/>
      <c r="F38" s="58"/>
      <c r="G38" s="382"/>
      <c r="H38" s="383"/>
      <c r="I38" s="383"/>
      <c r="J38" s="384"/>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0" t="s">
        <v>559</v>
      </c>
      <c r="E39" s="381"/>
      <c r="F39" s="58"/>
      <c r="G39" s="382"/>
      <c r="H39" s="383"/>
      <c r="I39" s="383"/>
      <c r="J39" s="38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0" t="s">
        <v>559</v>
      </c>
      <c r="E40" s="381"/>
      <c r="F40" s="58"/>
      <c r="G40" s="382"/>
      <c r="H40" s="383"/>
      <c r="I40" s="383"/>
      <c r="J40" s="38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0" t="s">
        <v>559</v>
      </c>
      <c r="E41" s="381"/>
      <c r="F41" s="58"/>
      <c r="G41" s="382"/>
      <c r="H41" s="383"/>
      <c r="I41" s="383"/>
      <c r="J41" s="38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0" t="str">
        <f ca="1">D25</f>
        <v>Answer</v>
      </c>
      <c r="E43" s="400"/>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0"/>
      <c r="E44" s="381"/>
      <c r="F44" s="58"/>
      <c r="G44" s="382"/>
      <c r="H44" s="383"/>
      <c r="I44" s="383"/>
      <c r="J44" s="38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0" t="s">
        <v>559</v>
      </c>
      <c r="E45" s="381"/>
      <c r="F45" s="58"/>
      <c r="G45" s="382"/>
      <c r="H45" s="383"/>
      <c r="I45" s="383"/>
      <c r="J45" s="38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0" t="s">
        <v>559</v>
      </c>
      <c r="E46" s="381"/>
      <c r="F46" s="58"/>
      <c r="G46" s="382"/>
      <c r="H46" s="383"/>
      <c r="I46" s="383"/>
      <c r="J46" s="38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0" t="s">
        <v>559</v>
      </c>
      <c r="E47" s="381"/>
      <c r="F47" s="58"/>
      <c r="G47" s="382"/>
      <c r="H47" s="383"/>
      <c r="I47" s="383"/>
      <c r="J47" s="38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0" t="str">
        <f ca="1">D25</f>
        <v>Answer</v>
      </c>
      <c r="E49" s="400"/>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401"/>
      <c r="E50" s="402"/>
      <c r="F50" s="58"/>
      <c r="G50" s="382"/>
      <c r="H50" s="383"/>
      <c r="I50" s="383"/>
      <c r="J50" s="38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1">
        <v>1</v>
      </c>
      <c r="E51" s="402"/>
      <c r="F51" s="58"/>
      <c r="G51" s="382"/>
      <c r="H51" s="383"/>
      <c r="I51" s="383"/>
      <c r="J51" s="38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1">
        <v>1</v>
      </c>
      <c r="E52" s="402"/>
      <c r="F52" s="58"/>
      <c r="G52" s="382"/>
      <c r="H52" s="383"/>
      <c r="I52" s="383"/>
      <c r="J52" s="38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1">
        <v>1</v>
      </c>
      <c r="E53" s="402"/>
      <c r="F53" s="58"/>
      <c r="G53" s="382"/>
      <c r="H53" s="383"/>
      <c r="I53" s="383"/>
      <c r="J53" s="38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0" t="str">
        <f ca="1">D25</f>
        <v>Answer</v>
      </c>
      <c r="E55" s="400"/>
      <c r="F55" s="21"/>
      <c r="G55" s="55" t="str">
        <f ca="1">G25</f>
        <v>Comments</v>
      </c>
      <c r="H55" s="393"/>
      <c r="I55" s="393"/>
      <c r="J55" s="39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8"/>
      <c r="E56" s="399"/>
      <c r="F56" s="58"/>
      <c r="G56" s="382"/>
      <c r="H56" s="383"/>
      <c r="I56" s="383"/>
      <c r="J56" s="38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0" t="s">
        <v>558</v>
      </c>
      <c r="E57" s="381"/>
      <c r="F57" s="58"/>
      <c r="G57" s="382"/>
      <c r="H57" s="383"/>
      <c r="I57" s="383"/>
      <c r="J57" s="38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0" t="s">
        <v>558</v>
      </c>
      <c r="E58" s="381"/>
      <c r="F58" s="58"/>
      <c r="G58" s="382"/>
      <c r="H58" s="383"/>
      <c r="I58" s="383"/>
      <c r="J58" s="38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0" t="s">
        <v>558</v>
      </c>
      <c r="E59" s="381"/>
      <c r="F59" s="58"/>
      <c r="G59" s="382"/>
      <c r="H59" s="383"/>
      <c r="I59" s="383"/>
      <c r="J59" s="38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0" t="str">
        <f ca="1">D25</f>
        <v>Answer</v>
      </c>
      <c r="E61" s="400"/>
      <c r="F61" s="21"/>
      <c r="G61" s="55" t="str">
        <f ca="1">G25</f>
        <v>Comments</v>
      </c>
      <c r="H61" s="393" t="str">
        <f>IF(Q69="(*)","Click here to enter smelter names","")</f>
        <v/>
      </c>
      <c r="I61" s="393"/>
      <c r="J61" s="39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0" t="s">
        <v>558</v>
      </c>
      <c r="E62" s="381"/>
      <c r="F62" s="59"/>
      <c r="G62" s="382"/>
      <c r="H62" s="383"/>
      <c r="I62" s="383"/>
      <c r="J62" s="38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0" t="s">
        <v>558</v>
      </c>
      <c r="E63" s="381"/>
      <c r="F63" s="59"/>
      <c r="G63" s="382"/>
      <c r="H63" s="383"/>
      <c r="I63" s="383"/>
      <c r="J63" s="38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0" t="s">
        <v>558</v>
      </c>
      <c r="E64" s="381"/>
      <c r="F64" s="59"/>
      <c r="G64" s="382"/>
      <c r="H64" s="383"/>
      <c r="I64" s="383"/>
      <c r="J64" s="38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0" t="s">
        <v>558</v>
      </c>
      <c r="E65" s="381"/>
      <c r="F65" s="61"/>
      <c r="G65" s="382"/>
      <c r="H65" s="383"/>
      <c r="I65" s="383"/>
      <c r="J65" s="38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5" t="str">
        <f ca="1">OFFSET(L!$C$1,MATCH("Declaration"&amp;ADDRESS(ROW(),COLUMN(),4),L!$A:$A,0)-1,SL,,)</f>
        <v>Answer the Following Questions at a Company Level</v>
      </c>
      <c r="C67" s="385"/>
      <c r="D67" s="385"/>
      <c r="E67" s="385"/>
      <c r="F67" s="385"/>
      <c r="G67" s="385"/>
      <c r="H67" s="385"/>
      <c r="I67" s="385"/>
      <c r="J67" s="38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4" t="str">
        <f ca="1">D25</f>
        <v>Answer</v>
      </c>
      <c r="E68" s="394"/>
      <c r="F68" s="64"/>
      <c r="G68" s="394" t="str">
        <f ca="1">G25</f>
        <v>Comments</v>
      </c>
      <c r="H68" s="394" t="e">
        <f>HLOOKUP(SL,LT,$O68,0)</f>
        <v>#NAME?</v>
      </c>
      <c r="I68" s="394"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0" t="s">
        <v>558</v>
      </c>
      <c r="E69" s="381"/>
      <c r="F69" s="68"/>
      <c r="G69" s="382"/>
      <c r="H69" s="383"/>
      <c r="I69" s="383"/>
      <c r="J69" s="38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1"/>
      <c r="H70" s="391"/>
      <c r="I70" s="391"/>
      <c r="J70" s="39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0" t="s">
        <v>559</v>
      </c>
      <c r="E71" s="381"/>
      <c r="F71" s="68"/>
      <c r="G71" s="408"/>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0" t="s">
        <v>558</v>
      </c>
      <c r="E73" s="381"/>
      <c r="F73" s="68"/>
      <c r="G73" s="382"/>
      <c r="H73" s="383"/>
      <c r="I73" s="383"/>
      <c r="J73" s="38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0" t="s">
        <v>558</v>
      </c>
      <c r="E75" s="381"/>
      <c r="F75" s="68"/>
      <c r="G75" s="382"/>
      <c r="H75" s="383"/>
      <c r="I75" s="383"/>
      <c r="J75" s="38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0" t="s">
        <v>558</v>
      </c>
      <c r="E77" s="381"/>
      <c r="F77" s="68"/>
      <c r="G77" s="382"/>
      <c r="H77" s="383"/>
      <c r="I77" s="383"/>
      <c r="J77" s="38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9" t="s">
        <v>13311</v>
      </c>
      <c r="E79" s="390"/>
      <c r="F79" s="68"/>
      <c r="G79" s="382"/>
      <c r="H79" s="383"/>
      <c r="I79" s="383"/>
      <c r="J79" s="38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1"/>
      <c r="H80" s="391"/>
      <c r="I80" s="391"/>
      <c r="J80" s="39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0" t="s">
        <v>558</v>
      </c>
      <c r="E81" s="381"/>
      <c r="F81" s="68"/>
      <c r="G81" s="382"/>
      <c r="H81" s="383"/>
      <c r="I81" s="383"/>
      <c r="J81" s="38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2"/>
      <c r="H82" s="392"/>
      <c r="I82" s="392"/>
      <c r="J82" s="39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0" t="s">
        <v>558</v>
      </c>
      <c r="E83" s="381"/>
      <c r="F83" s="68"/>
      <c r="G83" s="382"/>
      <c r="H83" s="383"/>
      <c r="I83" s="383"/>
      <c r="J83" s="38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0" t="s">
        <v>559</v>
      </c>
      <c r="E85" s="381"/>
      <c r="F85" s="68"/>
      <c r="G85" s="382"/>
      <c r="H85" s="383"/>
      <c r="I85" s="383"/>
      <c r="J85" s="38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8" t="str">
        <f>IF(OR($D$8="",$I$3=""),"","Click here to check required fields completion")</f>
        <v/>
      </c>
      <c r="C86" s="388"/>
      <c r="D86" s="388"/>
      <c r="E86" s="388"/>
      <c r="F86" s="388"/>
      <c r="G86" s="388"/>
      <c r="H86" s="388"/>
      <c r="I86" s="388"/>
      <c r="J86" s="388"/>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6" t="str">
        <f ca="1">OFFSET(L!$C$1,MATCH("General"&amp;"Cpy",L!$A:$A,0)-1,SL,,)</f>
        <v>© 2019 Responsible Minerals Initiative. All rights reserved.</v>
      </c>
      <c r="B87" s="387"/>
      <c r="C87" s="387"/>
      <c r="D87" s="387"/>
      <c r="E87" s="387"/>
      <c r="F87" s="387"/>
      <c r="G87" s="387"/>
      <c r="H87" s="387"/>
      <c r="I87" s="387"/>
      <c r="J87" s="387"/>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09" priority="51" stopIfTrue="1">
      <formula>AND(OR($D$26="No",AND($D$26="Yes",$D$32="No")),OR($D$27="No",AND($D$27="Yes",$D$33="No")), OR($D$28="No",AND($D$28="Yes",$D$34="No")), OR($D$29="No",AND($D$29="Yes",$D$35="No")))</formula>
    </cfRule>
    <cfRule type="expression" dxfId="108" priority="52" stopIfTrue="1">
      <formula>IF(D69="",TRUE)</formula>
    </cfRule>
  </conditionalFormatting>
  <conditionalFormatting sqref="G71:J71">
    <cfRule type="expression" dxfId="107" priority="23" stopIfTrue="1">
      <formula>IF(AND($D$71="Yes",$G$71=""),TRUE)</formula>
    </cfRule>
  </conditionalFormatting>
  <conditionalFormatting sqref="D26:E26">
    <cfRule type="expression" dxfId="106" priority="103" stopIfTrue="1">
      <formula>IF($D$26="",TRUE)</formula>
    </cfRule>
  </conditionalFormatting>
  <conditionalFormatting sqref="D27:E27">
    <cfRule type="expression" dxfId="105" priority="110" stopIfTrue="1">
      <formula>IF($D$27="",TRUE)</formula>
    </cfRule>
  </conditionalFormatting>
  <conditionalFormatting sqref="D28:E28">
    <cfRule type="expression" dxfId="104" priority="111" stopIfTrue="1">
      <formula>IF($D$28="",TRUE)</formula>
    </cfRule>
  </conditionalFormatting>
  <conditionalFormatting sqref="D29:E29">
    <cfRule type="expression" dxfId="103" priority="112" stopIfTrue="1">
      <formula>IF($D$29="",TRUE)</formula>
    </cfRule>
  </conditionalFormatting>
  <conditionalFormatting sqref="D8:J8">
    <cfRule type="expression" dxfId="102" priority="117" stopIfTrue="1">
      <formula>IF($D$8="",TRUE)</formula>
    </cfRule>
  </conditionalFormatting>
  <conditionalFormatting sqref="D9:G9">
    <cfRule type="expression" dxfId="101" priority="118" stopIfTrue="1">
      <formula>IF($D$9="",TRUE)</formula>
    </cfRule>
  </conditionalFormatting>
  <conditionalFormatting sqref="D15:J15">
    <cfRule type="expression" dxfId="100" priority="119" stopIfTrue="1">
      <formula>IF($D$15="",TRUE)</formula>
    </cfRule>
  </conditionalFormatting>
  <conditionalFormatting sqref="D16:J16">
    <cfRule type="expression" dxfId="99" priority="120" stopIfTrue="1">
      <formula>IF($D$16="",TRUE)</formula>
    </cfRule>
  </conditionalFormatting>
  <conditionalFormatting sqref="D17:J17">
    <cfRule type="expression" dxfId="98" priority="121" stopIfTrue="1">
      <formula>IF($D$17="",TRUE)</formula>
    </cfRule>
  </conditionalFormatting>
  <conditionalFormatting sqref="D18:J18">
    <cfRule type="expression" dxfId="97" priority="122" stopIfTrue="1">
      <formula>IF($D$18="",TRUE)</formula>
    </cfRule>
  </conditionalFormatting>
  <conditionalFormatting sqref="D22:E22">
    <cfRule type="expression" dxfId="96" priority="125" stopIfTrue="1">
      <formula>IF($D$22="",TRUE)</formula>
    </cfRule>
  </conditionalFormatting>
  <conditionalFormatting sqref="D10:J10">
    <cfRule type="expression" dxfId="95" priority="22" stopIfTrue="1">
      <formula>IF($D$9=$Q$9,TRUE)</formula>
    </cfRule>
    <cfRule type="expression" dxfId="94" priority="132" stopIfTrue="1">
      <formula>IF(AND($D$10="",$D$9=$R$9),TRUE)</formula>
    </cfRule>
  </conditionalFormatting>
  <conditionalFormatting sqref="D34:E34 D40:E40 D46:E46 D52:E52 D58:E58 D64:E64">
    <cfRule type="expression" dxfId="93" priority="15" stopIfTrue="1">
      <formula>$P$28=""</formula>
    </cfRule>
  </conditionalFormatting>
  <conditionalFormatting sqref="D35:E35 D41:E41 D47:E47 D53:E53 D59:E59 D65:E65">
    <cfRule type="expression" dxfId="92" priority="130" stopIfTrue="1">
      <formula>$P$29=""</formula>
    </cfRule>
  </conditionalFormatting>
  <conditionalFormatting sqref="D32:E32">
    <cfRule type="expression" dxfId="91" priority="108" stopIfTrue="1">
      <formula>$P$26=""</formula>
    </cfRule>
  </conditionalFormatting>
  <conditionalFormatting sqref="D32:E32">
    <cfRule type="expression" dxfId="90" priority="21" stopIfTrue="1">
      <formula>IF(AND(OR($D$26="Yes",$D$26=""),$D$32=""),1,0)</formula>
    </cfRule>
  </conditionalFormatting>
  <conditionalFormatting sqref="D38 D44 D50 D56 D62">
    <cfRule type="expression" dxfId="89" priority="17" stopIfTrue="1">
      <formula>$P$32=""</formula>
    </cfRule>
  </conditionalFormatting>
  <conditionalFormatting sqref="D39:E39 D45 D51 D57 D63">
    <cfRule type="expression" dxfId="88" priority="16" stopIfTrue="1">
      <formula>$P$33=""</formula>
    </cfRule>
  </conditionalFormatting>
  <conditionalFormatting sqref="D40 D46 D52 D58 D64">
    <cfRule type="expression" dxfId="87" priority="6" stopIfTrue="1">
      <formula>$P$34=""</formula>
    </cfRule>
    <cfRule type="expression" dxfId="86" priority="128" stopIfTrue="1">
      <formula>IF(AND(OR($D$28="Yes",$D$28=""),D40=""),1,0)</formula>
    </cfRule>
  </conditionalFormatting>
  <conditionalFormatting sqref="D41 D47 D53 D59 D65">
    <cfRule type="expression" dxfId="85" priority="14" stopIfTrue="1">
      <formula>$P$35=""</formula>
    </cfRule>
  </conditionalFormatting>
  <conditionalFormatting sqref="D38:E38 D44:E44 D50:E50 D56:E56 D62:E62">
    <cfRule type="expression" dxfId="84" priority="19" stopIfTrue="1">
      <formula>$P$26=""</formula>
    </cfRule>
    <cfRule type="expression" dxfId="83" priority="20" stopIfTrue="1">
      <formula>IF(AND(OR($D$26="Yes",$D$26=""),D38=""),1,0)</formula>
    </cfRule>
  </conditionalFormatting>
  <conditionalFormatting sqref="G79:J79">
    <cfRule type="expression" dxfId="82" priority="13" stopIfTrue="1">
      <formula>IF(AND($D$79="Yes, using other format (describe)",$G$79=""),TRUE)</formula>
    </cfRule>
  </conditionalFormatting>
  <conditionalFormatting sqref="D39:E39 D45:E45 D51:E51 D57:E57 D63:E63">
    <cfRule type="expression" dxfId="81" priority="126" stopIfTrue="1">
      <formula>$P$39=""</formula>
    </cfRule>
    <cfRule type="expression" dxfId="80" priority="127" stopIfTrue="1">
      <formula>IF(AND(OR($D$27="Yes",$D$27=""),D39=""),1,0)</formula>
    </cfRule>
  </conditionalFormatting>
  <conditionalFormatting sqref="D33:E33">
    <cfRule type="expression" dxfId="79" priority="8" stopIfTrue="1">
      <formula>IF(AND(OR($D$27="Yes",$D$27=""),$D$33=""),1,0)</formula>
    </cfRule>
    <cfRule type="expression" dxfId="78" priority="9" stopIfTrue="1">
      <formula>$P$27=""</formula>
    </cfRule>
  </conditionalFormatting>
  <conditionalFormatting sqref="D34:E34">
    <cfRule type="expression" dxfId="77" priority="129" stopIfTrue="1">
      <formula>IF(AND(OR($D$28="Yes",$D$28=""),$D$34=""),1,0)</formula>
    </cfRule>
  </conditionalFormatting>
  <conditionalFormatting sqref="D41:E41 D47:E47 D53:E53 D59:E59 D65:E65">
    <cfRule type="expression" dxfId="76" priority="131" stopIfTrue="1">
      <formula>IF(AND(OR($D$29="Yes",$D$29=""),D41=""),1,0)</formula>
    </cfRule>
  </conditionalFormatting>
  <conditionalFormatting sqref="D35:E35">
    <cfRule type="expression" dxfId="75" priority="5" stopIfTrue="1">
      <formula>IF(AND(OR($D$29="Yes",$D$29=""),$D$35=""),1,0)</formula>
    </cfRule>
  </conditionalFormatting>
  <conditionalFormatting sqref="D20:J20">
    <cfRule type="expression" dxfId="74" priority="1" stopIfTrue="1">
      <formula>IF($D$20="",TRUE)</formula>
    </cfRule>
  </conditionalFormatting>
  <conditionalFormatting sqref="D21:J21">
    <cfRule type="expression" dxfId="73" priority="2" stopIfTrue="1">
      <formula>IF($D$21="",TRUE)</formula>
    </cfRule>
  </conditionalFormatting>
  <dataValidations xWindow="855" yWindow="328"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2"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80" zoomScaleNormal="80" zoomScalePageLayoutView="55" workbookViewId="0">
      <selection activeCell="C61" sqref="C6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8" t="str">
        <f ca="1">OFFSET(L!$C$1,MATCH("Smelter List"&amp;ADDRESS(ROW(),COLUMN(),4),L!$A:$A,0)-1,SL,,)</f>
        <v>Link to "RMAP Conformant Smelter List"</v>
      </c>
      <c r="K2" s="439"/>
      <c r="L2" s="439"/>
      <c r="M2" s="439"/>
      <c r="N2" s="439"/>
      <c r="O2" s="439"/>
      <c r="P2" s="232"/>
      <c r="Q2" s="233"/>
      <c r="R2" s="234"/>
      <c r="S2" s="234"/>
      <c r="T2" s="234"/>
      <c r="U2" s="261"/>
      <c r="V2" s="261"/>
      <c r="W2" s="262"/>
      <c r="X2" s="261"/>
      <c r="Y2" s="261"/>
      <c r="Z2" s="261"/>
      <c r="AH2" s="178" t="s">
        <v>558</v>
      </c>
    </row>
    <row r="3" spans="1:34" s="263" customFormat="1" ht="255.6" customHeight="1">
      <c r="A3" s="204"/>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64"/>
      <c r="G3" s="441" t="str">
        <f ca="1">OFFSET(L!$C$1,MATCH("General"&amp;"Cpy",L!$A:$A,0)-1,SL,,)</f>
        <v>© 2019 Responsible Minerals Initiative. All rights reserved.</v>
      </c>
      <c r="H3" s="441"/>
      <c r="I3" s="44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c r="B5" s="216" t="s">
        <v>1251</v>
      </c>
      <c r="C5" s="348" t="s">
        <v>1151</v>
      </c>
      <c r="D5" s="348" t="s">
        <v>1151</v>
      </c>
      <c r="E5" s="216" t="s">
        <v>996</v>
      </c>
      <c r="F5" s="216" t="s">
        <v>873</v>
      </c>
      <c r="G5" s="216" t="s">
        <v>15501</v>
      </c>
      <c r="H5" s="217">
        <v>0</v>
      </c>
      <c r="I5" s="218" t="s">
        <v>2036</v>
      </c>
      <c r="J5" s="218" t="s">
        <v>9985</v>
      </c>
      <c r="K5" s="267"/>
      <c r="L5" s="267"/>
      <c r="M5" s="267"/>
      <c r="N5" s="267"/>
      <c r="O5" s="267"/>
      <c r="P5" s="219"/>
      <c r="Q5" s="268"/>
      <c r="R5" s="216" t="str">
        <f ca="1">IF(ISERROR($V5),"",OFFSET('Smelter Look-up'!$C$4,$V5-4,0)&amp;"")</f>
        <v>Minsur</v>
      </c>
      <c r="S5" s="224" t="str">
        <f t="shared" ref="S5:S68" ca="1" si="0">IF(B5="","",IF(ISERROR(MATCH($E5,CL,0)),"Unknown",INDIRECT("'C'!$A$"&amp;MATCH($E5,CL,0)+1)))</f>
        <v>PE</v>
      </c>
      <c r="T5" s="224" t="str">
        <f ca="1">IF(B5="","",IF(ISERROR(MATCH($J5,SorP!$B$1:$B$6230,0)),"",INDIRECT("'SorP'!$A$"&amp;MATCH($J5,SorP!$B$1:$B$6230,0))))</f>
        <v>PE-ICA</v>
      </c>
      <c r="U5" s="239"/>
      <c r="V5" s="269">
        <f>IF(C5="",NA(),MATCH($B5&amp;$C5,'Smelter Look-up'!$J:$J,0))</f>
        <v>428</v>
      </c>
      <c r="W5" s="270"/>
      <c r="X5" s="270">
        <f t="shared" ref="X5:X68" si="1">IF(AND(C5="Smelter not listed",OR(LEN(D5)=0,LEN(E5)=0)),1,0)</f>
        <v>0</v>
      </c>
      <c r="Y5" s="270"/>
      <c r="Z5" s="270"/>
      <c r="AB5" s="272" t="str">
        <f t="shared" ref="AB5:AB68" si="2">B5&amp;C5</f>
        <v>TinMinsur</v>
      </c>
    </row>
    <row r="6" spans="1:34" s="271" customFormat="1" ht="20.100000000000001" customHeight="1">
      <c r="A6" s="347"/>
      <c r="B6" s="349" t="s">
        <v>1251</v>
      </c>
      <c r="C6" s="348" t="s">
        <v>957</v>
      </c>
      <c r="D6" s="348" t="s">
        <v>957</v>
      </c>
      <c r="E6" s="349" t="s">
        <v>3090</v>
      </c>
      <c r="F6" s="349" t="s">
        <v>863</v>
      </c>
      <c r="G6" s="349" t="s">
        <v>15501</v>
      </c>
      <c r="H6" s="217">
        <v>0</v>
      </c>
      <c r="I6" s="218" t="s">
        <v>2019</v>
      </c>
      <c r="J6" s="218" t="s">
        <v>2019</v>
      </c>
      <c r="K6" s="267"/>
      <c r="L6" s="267"/>
      <c r="M6" s="267"/>
      <c r="N6" s="267"/>
      <c r="O6" s="267"/>
      <c r="P6" s="219"/>
      <c r="Q6" s="268"/>
      <c r="R6" s="216" t="str">
        <f ca="1">IF(ISERROR($V6),"",OFFSET('Smelter Look-up'!$C$4,$V6-4,0)&amp;"")</f>
        <v>EM Vinto</v>
      </c>
      <c r="S6" s="224" t="str">
        <f t="shared" ca="1" si="0"/>
        <v>BO</v>
      </c>
      <c r="T6" s="224" t="str">
        <f ca="1">IF(B6="","",IF(ISERROR(MATCH($J6,SorP!$B$1:$B$6230,0)),"",INDIRECT("'SorP'!$A$"&amp;MATCH($J6,SorP!$B$1:$B$6230,0))))</f>
        <v>BO-O</v>
      </c>
      <c r="U6" s="239"/>
      <c r="V6" s="269">
        <f>IF(C6="",NA(),MATCH($B6&amp;$C6,'Smelter Look-up'!$J:$J,0))</f>
        <v>380</v>
      </c>
      <c r="W6" s="270"/>
      <c r="X6" s="270">
        <f t="shared" si="1"/>
        <v>0</v>
      </c>
      <c r="Y6" s="270"/>
      <c r="Z6" s="270"/>
      <c r="AB6" s="272" t="str">
        <f t="shared" si="2"/>
        <v>TinEM Vinto</v>
      </c>
    </row>
    <row r="7" spans="1:34" s="271" customFormat="1" ht="20.100000000000001" customHeight="1">
      <c r="A7" s="347"/>
      <c r="B7" s="349" t="s">
        <v>1251</v>
      </c>
      <c r="C7" s="348" t="s">
        <v>2669</v>
      </c>
      <c r="D7" s="348" t="s">
        <v>2669</v>
      </c>
      <c r="E7" s="349" t="s">
        <v>1235</v>
      </c>
      <c r="F7" s="349" t="s">
        <v>871</v>
      </c>
      <c r="G7" s="349" t="s">
        <v>15501</v>
      </c>
      <c r="H7" s="217">
        <v>0</v>
      </c>
      <c r="I7" s="218" t="s">
        <v>2031</v>
      </c>
      <c r="J7" s="218" t="s">
        <v>9530</v>
      </c>
      <c r="K7" s="267"/>
      <c r="L7" s="267"/>
      <c r="M7" s="267"/>
      <c r="N7" s="267"/>
      <c r="O7" s="267"/>
      <c r="P7" s="219"/>
      <c r="Q7" s="268"/>
      <c r="R7" s="216" t="str">
        <f ca="1">IF(ISERROR($V7),"",OFFSET('Smelter Look-up'!$C$4,$V7-4,0)&amp;"")</f>
        <v>Malaysia Smelting Corporation (MSC)</v>
      </c>
      <c r="S7" s="224" t="str">
        <f t="shared" ca="1" si="0"/>
        <v>MY</v>
      </c>
      <c r="T7" s="224" t="str">
        <f ca="1">IF(B7="","",IF(ISERROR(MATCH($J7,SorP!$B$1:$B$6230,0)),"",INDIRECT("'SorP'!$A$"&amp;MATCH($J7,SorP!$B$1:$B$6230,0))))</f>
        <v>MY-07</v>
      </c>
      <c r="U7" s="239"/>
      <c r="V7" s="269">
        <f>IF(C7="",NA(),MATCH($B7&amp;$C7,'Smelter Look-up'!$J:$J,0))</f>
        <v>431</v>
      </c>
      <c r="W7" s="270"/>
      <c r="X7" s="270">
        <f t="shared" si="1"/>
        <v>0</v>
      </c>
      <c r="Y7" s="270"/>
      <c r="Z7" s="270"/>
      <c r="AB7" s="272" t="str">
        <f t="shared" si="2"/>
        <v>TinMSC</v>
      </c>
    </row>
    <row r="8" spans="1:34" s="271" customFormat="1" ht="20.100000000000001" customHeight="1">
      <c r="A8" s="347"/>
      <c r="B8" s="349" t="s">
        <v>1251</v>
      </c>
      <c r="C8" s="348" t="s">
        <v>1150</v>
      </c>
      <c r="D8" s="348" t="s">
        <v>1150</v>
      </c>
      <c r="E8" s="349" t="s">
        <v>1216</v>
      </c>
      <c r="F8" s="349" t="s">
        <v>872</v>
      </c>
      <c r="G8" s="349" t="s">
        <v>15501</v>
      </c>
      <c r="H8" s="217">
        <v>0</v>
      </c>
      <c r="I8" s="218" t="s">
        <v>2034</v>
      </c>
      <c r="J8" s="218" t="s">
        <v>1916</v>
      </c>
      <c r="K8" s="267"/>
      <c r="L8" s="267"/>
      <c r="M8" s="267"/>
      <c r="N8" s="267"/>
      <c r="O8" s="267"/>
      <c r="P8" s="219"/>
      <c r="Q8" s="268"/>
      <c r="R8" s="216" t="str">
        <f ca="1">IF(ISERROR($V8),"",OFFSET('Smelter Look-up'!$C$4,$V8-4,0)&amp;"")</f>
        <v>Mineracao Taboca S.A.</v>
      </c>
      <c r="S8" s="224" t="str">
        <f t="shared" ca="1" si="0"/>
        <v>BR</v>
      </c>
      <c r="T8" s="224" t="str">
        <f ca="1">IF(B8="","",IF(ISERROR(MATCH($J8,SorP!$B$1:$B$6230,0)),"",INDIRECT("'SorP'!$A$"&amp;MATCH($J8,SorP!$B$1:$B$6230,0))))</f>
        <v>BR-SP</v>
      </c>
      <c r="U8" s="239"/>
      <c r="V8" s="269">
        <f>IF(C8="",NA(),MATCH($B8&amp;$C8,'Smelter Look-up'!$J:$J,0))</f>
        <v>426</v>
      </c>
      <c r="W8" s="270"/>
      <c r="X8" s="270">
        <f t="shared" si="1"/>
        <v>0</v>
      </c>
      <c r="Y8" s="270"/>
      <c r="Z8" s="270"/>
      <c r="AB8" s="272" t="str">
        <f t="shared" si="2"/>
        <v>TinMineração Taboca S.A.</v>
      </c>
    </row>
    <row r="9" spans="1:34" s="271" customFormat="1" ht="20.100000000000001" customHeight="1">
      <c r="A9" s="347"/>
      <c r="B9" s="349" t="s">
        <v>1251</v>
      </c>
      <c r="C9" s="348" t="s">
        <v>2546</v>
      </c>
      <c r="D9" s="348" t="s">
        <v>2546</v>
      </c>
      <c r="E9" s="349" t="s">
        <v>3090</v>
      </c>
      <c r="F9" s="349" t="s">
        <v>877</v>
      </c>
      <c r="G9" s="349" t="s">
        <v>15501</v>
      </c>
      <c r="H9" s="217">
        <v>0</v>
      </c>
      <c r="I9" s="218" t="s">
        <v>2019</v>
      </c>
      <c r="J9" s="218" t="s">
        <v>2019</v>
      </c>
      <c r="K9" s="267"/>
      <c r="L9" s="267"/>
      <c r="M9" s="267"/>
      <c r="N9" s="267"/>
      <c r="O9" s="267"/>
      <c r="P9" s="219"/>
      <c r="Q9" s="268"/>
      <c r="R9" s="216" t="str">
        <f ca="1">IF(ISERROR($V9),"",OFFSET('Smelter Look-up'!$C$4,$V9-4,0)&amp;"")</f>
        <v>Operaciones Metalurgicas S.A.</v>
      </c>
      <c r="S9" s="224" t="str">
        <f t="shared" ca="1" si="0"/>
        <v>BO</v>
      </c>
      <c r="T9" s="224" t="str">
        <f ca="1">IF(B9="","",IF(ISERROR(MATCH($J9,SorP!$B$1:$B$6230,0)),"",INDIRECT("'SorP'!$A$"&amp;MATCH($J9,SorP!$B$1:$B$6230,0))))</f>
        <v>BO-O</v>
      </c>
      <c r="U9" s="239"/>
      <c r="V9" s="269">
        <f>IF(C9="",NA(),MATCH($B9&amp;$C9,'Smelter Look-up'!$J:$J,0))</f>
        <v>437</v>
      </c>
      <c r="W9" s="270"/>
      <c r="X9" s="270">
        <f t="shared" si="1"/>
        <v>0</v>
      </c>
      <c r="Y9" s="270"/>
      <c r="Z9" s="270"/>
      <c r="AB9" s="272" t="str">
        <f t="shared" si="2"/>
        <v>TinOMSA</v>
      </c>
    </row>
    <row r="10" spans="1:34" s="271" customFormat="1" ht="20.100000000000001" customHeight="1">
      <c r="A10" s="347"/>
      <c r="B10" s="349" t="s">
        <v>1251</v>
      </c>
      <c r="C10" s="348" t="s">
        <v>716</v>
      </c>
      <c r="D10" s="348" t="s">
        <v>716</v>
      </c>
      <c r="E10" s="349" t="s">
        <v>1225</v>
      </c>
      <c r="F10" s="349" t="s">
        <v>882</v>
      </c>
      <c r="G10" s="349" t="s">
        <v>15501</v>
      </c>
      <c r="H10" s="217">
        <v>0</v>
      </c>
      <c r="I10" s="218" t="s">
        <v>2017</v>
      </c>
      <c r="J10" s="218" t="s">
        <v>13917</v>
      </c>
      <c r="K10" s="267"/>
      <c r="L10" s="267"/>
      <c r="M10" s="267"/>
      <c r="N10" s="267"/>
      <c r="O10" s="267"/>
      <c r="P10" s="219"/>
      <c r="Q10" s="268"/>
      <c r="R10" s="216" t="str">
        <f ca="1">IF(ISERROR($V10),"",OFFSET('Smelter Look-up'!$C$4,$V10-4,0)&amp;"")</f>
        <v>PT Bukit Timah</v>
      </c>
      <c r="S10" s="224" t="str">
        <f t="shared" ca="1" si="0"/>
        <v>ID</v>
      </c>
      <c r="T10" s="224" t="str">
        <f ca="1">IF(B10="","",IF(ISERROR(MATCH($J10,SorP!$B$1:$B$6230,0)),"",INDIRECT("'SorP'!$A$"&amp;MATCH($J10,SorP!$B$1:$B$6230,0))))</f>
        <v>ID-BB</v>
      </c>
      <c r="U10" s="239"/>
      <c r="V10" s="269">
        <f>IF(C10="",NA(),MATCH($B10&amp;$C10,'Smelter Look-up'!$J:$J,0))</f>
        <v>452</v>
      </c>
      <c r="W10" s="270"/>
      <c r="X10" s="270">
        <f t="shared" si="1"/>
        <v>0</v>
      </c>
      <c r="Y10" s="270"/>
      <c r="Z10" s="270"/>
      <c r="AB10" s="272" t="str">
        <f t="shared" si="2"/>
        <v>TinPT Bukit Timah</v>
      </c>
    </row>
    <row r="11" spans="1:34" s="271" customFormat="1" ht="20.100000000000001" customHeight="1">
      <c r="A11" s="347"/>
      <c r="B11" s="349" t="s">
        <v>1251</v>
      </c>
      <c r="C11" s="348" t="s">
        <v>1148</v>
      </c>
      <c r="D11" s="348" t="s">
        <v>1148</v>
      </c>
      <c r="E11" s="349" t="s">
        <v>1004</v>
      </c>
      <c r="F11" s="349" t="s">
        <v>896</v>
      </c>
      <c r="G11" s="349" t="s">
        <v>15501</v>
      </c>
      <c r="H11" s="217">
        <v>0</v>
      </c>
      <c r="I11" s="218" t="s">
        <v>2051</v>
      </c>
      <c r="J11" s="218" t="s">
        <v>2052</v>
      </c>
      <c r="K11" s="267"/>
      <c r="L11" s="267"/>
      <c r="M11" s="267"/>
      <c r="N11" s="267"/>
      <c r="O11" s="267"/>
      <c r="P11" s="219"/>
      <c r="Q11" s="268"/>
      <c r="R11" s="216" t="str">
        <f ca="1">IF(ISERROR($V11),"",OFFSET('Smelter Look-up'!$C$4,$V11-4,0)&amp;"")</f>
        <v>Thaisarco</v>
      </c>
      <c r="S11" s="224" t="str">
        <f t="shared" ca="1" si="0"/>
        <v>TH</v>
      </c>
      <c r="T11" s="224" t="str">
        <f ca="1">IF(B11="","",IF(ISERROR(MATCH($J11,SorP!$B$1:$B$6230,0)),"",INDIRECT("'SorP'!$A$"&amp;MATCH($J11,SorP!$B$1:$B$6230,0))))</f>
        <v>TH-83</v>
      </c>
      <c r="U11" s="239"/>
      <c r="V11" s="269">
        <f>IF(C11="",NA(),MATCH($B11&amp;$C11,'Smelter Look-up'!$J:$J,0))</f>
        <v>488</v>
      </c>
      <c r="W11" s="270"/>
      <c r="X11" s="270">
        <f t="shared" si="1"/>
        <v>0</v>
      </c>
      <c r="Y11" s="270"/>
      <c r="Z11" s="270"/>
      <c r="AB11" s="272" t="str">
        <f t="shared" si="2"/>
        <v>TinThaisarco</v>
      </c>
    </row>
    <row r="12" spans="1:34" s="271" customFormat="1" ht="63.75">
      <c r="A12" s="347"/>
      <c r="B12" s="349" t="s">
        <v>1251</v>
      </c>
      <c r="C12" s="348" t="s">
        <v>2972</v>
      </c>
      <c r="D12" s="348" t="s">
        <v>2972</v>
      </c>
      <c r="E12" s="349" t="s">
        <v>1220</v>
      </c>
      <c r="F12" s="349" t="s">
        <v>899</v>
      </c>
      <c r="G12" s="349" t="s">
        <v>15501</v>
      </c>
      <c r="H12" s="217">
        <v>0</v>
      </c>
      <c r="I12" s="218" t="s">
        <v>3109</v>
      </c>
      <c r="J12" s="218" t="s">
        <v>15502</v>
      </c>
      <c r="K12" s="267"/>
      <c r="L12" s="267"/>
      <c r="M12" s="267"/>
      <c r="N12" s="267"/>
      <c r="O12" s="267"/>
      <c r="P12" s="219"/>
      <c r="Q12" s="268"/>
      <c r="R12" s="216" t="str">
        <f ca="1">IF(ISERROR($V12),"",OFFSET('Smelter Look-up'!$C$4,$V12-4,0)&amp;"")</f>
        <v>Yunnan Tin Company Limited</v>
      </c>
      <c r="S12" s="224" t="str">
        <f t="shared" ca="1" si="0"/>
        <v>CN</v>
      </c>
      <c r="T12" s="224" t="str">
        <f ca="1">IF(B12="","",IF(ISERROR(MATCH($J12,SorP!$B$1:$B$6230,0)),"",INDIRECT("'SorP'!$A$"&amp;MATCH($J12,SorP!$B$1:$B$6230,0))))</f>
        <v/>
      </c>
      <c r="U12" s="239"/>
      <c r="V12" s="269">
        <f>IF(C12="",NA(),MATCH($B12&amp;$C12,'Smelter Look-up'!$J:$J,0))</f>
        <v>507</v>
      </c>
      <c r="W12" s="270"/>
      <c r="X12" s="270">
        <f t="shared" si="1"/>
        <v>0</v>
      </c>
      <c r="Y12" s="270"/>
      <c r="Z12" s="270"/>
      <c r="AB12" s="272" t="str">
        <f t="shared" si="2"/>
        <v>TinYunnan Tin Company Limited</v>
      </c>
    </row>
    <row r="13" spans="1:34" s="271" customFormat="1" ht="51">
      <c r="A13" s="347"/>
      <c r="B13" s="349" t="s">
        <v>1251</v>
      </c>
      <c r="C13" s="348" t="s">
        <v>600</v>
      </c>
      <c r="D13" s="348" t="s">
        <v>600</v>
      </c>
      <c r="E13" s="349" t="s">
        <v>1225</v>
      </c>
      <c r="F13" s="349" t="s">
        <v>892</v>
      </c>
      <c r="G13" s="349" t="s">
        <v>15501</v>
      </c>
      <c r="H13" s="217">
        <v>0</v>
      </c>
      <c r="I13" s="218" t="s">
        <v>2017</v>
      </c>
      <c r="J13" s="218" t="s">
        <v>13917</v>
      </c>
      <c r="K13" s="267"/>
      <c r="L13" s="267"/>
      <c r="M13" s="267"/>
      <c r="N13" s="267"/>
      <c r="O13" s="267"/>
      <c r="P13" s="219"/>
      <c r="Q13" s="268"/>
      <c r="R13" s="216" t="str">
        <f ca="1">IF(ISERROR($V13),"",OFFSET('Smelter Look-up'!$C$4,$V13-4,0)&amp;"")</f>
        <v>PT Tinindo Inter Nusa</v>
      </c>
      <c r="S13" s="224" t="str">
        <f t="shared" ca="1" si="0"/>
        <v>ID</v>
      </c>
      <c r="T13" s="224" t="str">
        <f ca="1">IF(B13="","",IF(ISERROR(MATCH($J13,SorP!$B$1:$B$6230,0)),"",INDIRECT("'SorP'!$A$"&amp;MATCH($J13,SorP!$B$1:$B$6230,0))))</f>
        <v>ID-BB</v>
      </c>
      <c r="U13" s="239"/>
      <c r="V13" s="269">
        <f>IF(C13="",NA(),MATCH($B13&amp;$C13,'Smelter Look-up'!$J:$J,0))</f>
        <v>474</v>
      </c>
      <c r="W13" s="270"/>
      <c r="X13" s="270">
        <f t="shared" si="1"/>
        <v>0</v>
      </c>
      <c r="Y13" s="270"/>
      <c r="Z13" s="270"/>
      <c r="AB13" s="272" t="str">
        <f t="shared" si="2"/>
        <v>TinPT Tinindo Inter Nusa</v>
      </c>
    </row>
    <row r="14" spans="1:34" s="271" customFormat="1" ht="76.5">
      <c r="A14" s="347"/>
      <c r="B14" s="349" t="s">
        <v>1251</v>
      </c>
      <c r="C14" s="348" t="s">
        <v>54</v>
      </c>
      <c r="D14" s="348" t="s">
        <v>54</v>
      </c>
      <c r="E14" s="349" t="s">
        <v>1216</v>
      </c>
      <c r="F14" s="349" t="s">
        <v>897</v>
      </c>
      <c r="G14" s="349" t="s">
        <v>15501</v>
      </c>
      <c r="H14" s="217">
        <v>0</v>
      </c>
      <c r="I14" s="218" t="s">
        <v>2014</v>
      </c>
      <c r="J14" s="218" t="s">
        <v>2020</v>
      </c>
      <c r="K14" s="267"/>
      <c r="L14" s="267"/>
      <c r="M14" s="267"/>
      <c r="N14" s="267"/>
      <c r="O14" s="267"/>
      <c r="P14" s="219"/>
      <c r="Q14" s="268"/>
      <c r="R14" s="216" t="str">
        <f ca="1">IF(ISERROR($V14),"",OFFSET('Smelter Look-up'!$C$4,$V14-4,0)&amp;"")</f>
        <v>White Solder Metalurgia e Mineracao Ltda.</v>
      </c>
      <c r="S14" s="224" t="str">
        <f t="shared" ca="1" si="0"/>
        <v>BR</v>
      </c>
      <c r="T14" s="224" t="str">
        <f ca="1">IF(B14="","",IF(ISERROR(MATCH($J14,SorP!$B$1:$B$6230,0)),"",INDIRECT("'SorP'!$A$"&amp;MATCH($J14,SorP!$B$1:$B$6230,0))))</f>
        <v>BR-RO</v>
      </c>
      <c r="U14" s="239"/>
      <c r="V14" s="269">
        <f>IF(C14="",NA(),MATCH($B14&amp;$C14,'Smelter Look-up'!$J:$J,0))</f>
        <v>496</v>
      </c>
      <c r="W14" s="270"/>
      <c r="X14" s="270">
        <f t="shared" si="1"/>
        <v>0</v>
      </c>
      <c r="Y14" s="270"/>
      <c r="Z14" s="270"/>
      <c r="AB14" s="272" t="str">
        <f t="shared" si="2"/>
        <v>TinWhite Solder Metalurgia e Mineração Ltda.</v>
      </c>
    </row>
    <row r="15" spans="1:34" s="271" customFormat="1" ht="63.75">
      <c r="A15" s="347"/>
      <c r="B15" s="349" t="s">
        <v>1251</v>
      </c>
      <c r="C15" s="348" t="s">
        <v>15503</v>
      </c>
      <c r="D15" s="348" t="s">
        <v>15503</v>
      </c>
      <c r="E15" s="349" t="s">
        <v>1225</v>
      </c>
      <c r="F15" s="349" t="s">
        <v>891</v>
      </c>
      <c r="G15" s="349" t="s">
        <v>15501</v>
      </c>
      <c r="H15" s="217">
        <v>0</v>
      </c>
      <c r="I15" s="218" t="s">
        <v>2049</v>
      </c>
      <c r="J15" s="218" t="s">
        <v>13917</v>
      </c>
      <c r="K15" s="267"/>
      <c r="L15" s="267"/>
      <c r="M15" s="267"/>
      <c r="N15" s="267"/>
      <c r="O15" s="267"/>
      <c r="P15" s="219"/>
      <c r="Q15" s="268"/>
      <c r="R15" s="216" t="str">
        <f ca="1">IF(ISERROR($V15),"",OFFSET('Smelter Look-up'!$C$4,$V15-4,0)&amp;"")</f>
        <v/>
      </c>
      <c r="S15" s="224" t="str">
        <f t="shared" ca="1" si="0"/>
        <v>ID</v>
      </c>
      <c r="T15" s="224" t="str">
        <f ca="1">IF(B15="","",IF(ISERROR(MATCH($J15,SorP!$B$1:$B$6230,0)),"",INDIRECT("'SorP'!$A$"&amp;MATCH($J15,SorP!$B$1:$B$6230,0))))</f>
        <v>ID-BB</v>
      </c>
      <c r="U15" s="239"/>
      <c r="V15" s="269" t="e">
        <f>IF(C15="",NA(),MATCH($B15&amp;$C15,'Smelter Look-up'!$J:$J,0))</f>
        <v>#N/A</v>
      </c>
      <c r="W15" s="270"/>
      <c r="X15" s="270">
        <f t="shared" si="1"/>
        <v>0</v>
      </c>
      <c r="Y15" s="270"/>
      <c r="Z15" s="270"/>
      <c r="AB15" s="272" t="str">
        <f t="shared" si="2"/>
        <v>TinPT Timah (Persero) Tbk Mentok</v>
      </c>
    </row>
    <row r="16" spans="1:34" s="271" customFormat="1" ht="38.25">
      <c r="A16" s="347"/>
      <c r="B16" s="349" t="s">
        <v>1251</v>
      </c>
      <c r="C16" s="348" t="s">
        <v>956</v>
      </c>
      <c r="D16" s="348" t="s">
        <v>956</v>
      </c>
      <c r="E16" s="349" t="s">
        <v>1225</v>
      </c>
      <c r="F16" s="349" t="s">
        <v>862</v>
      </c>
      <c r="G16" s="349" t="s">
        <v>15501</v>
      </c>
      <c r="H16" s="217">
        <v>0</v>
      </c>
      <c r="I16" s="218" t="s">
        <v>2017</v>
      </c>
      <c r="J16" s="218" t="s">
        <v>13917</v>
      </c>
      <c r="K16" s="267"/>
      <c r="L16" s="267"/>
      <c r="M16" s="267"/>
      <c r="N16" s="267"/>
      <c r="O16" s="267"/>
      <c r="P16" s="219"/>
      <c r="Q16" s="268"/>
      <c r="R16" s="216" t="str">
        <f ca="1">IF(ISERROR($V16),"",OFFSET('Smelter Look-up'!$C$4,$V16-4,0)&amp;"")</f>
        <v>CV United Smelting</v>
      </c>
      <c r="S16" s="224" t="str">
        <f t="shared" ca="1" si="0"/>
        <v>ID</v>
      </c>
      <c r="T16" s="224" t="str">
        <f ca="1">IF(B16="","",IF(ISERROR(MATCH($J16,SorP!$B$1:$B$6230,0)),"",INDIRECT("'SorP'!$A$"&amp;MATCH($J16,SorP!$B$1:$B$6230,0))))</f>
        <v>ID-BB</v>
      </c>
      <c r="U16" s="239"/>
      <c r="V16" s="269">
        <f>IF(C16="",NA(),MATCH($B16&amp;$C16,'Smelter Look-up'!$J:$J,0))</f>
        <v>374</v>
      </c>
      <c r="W16" s="270"/>
      <c r="X16" s="270">
        <f t="shared" si="1"/>
        <v>0</v>
      </c>
      <c r="Y16" s="270"/>
      <c r="Z16" s="270"/>
      <c r="AB16" s="272" t="str">
        <f t="shared" si="2"/>
        <v>TinCV United Smelting</v>
      </c>
    </row>
    <row r="17" spans="1:28" s="271" customFormat="1" ht="38.25">
      <c r="A17" s="347"/>
      <c r="B17" s="349" t="s">
        <v>1251</v>
      </c>
      <c r="C17" s="348" t="s">
        <v>1149</v>
      </c>
      <c r="D17" s="348" t="s">
        <v>1149</v>
      </c>
      <c r="E17" s="349" t="s">
        <v>1225</v>
      </c>
      <c r="F17" s="349" t="s">
        <v>914</v>
      </c>
      <c r="G17" s="349" t="s">
        <v>15501</v>
      </c>
      <c r="H17" s="217">
        <v>0</v>
      </c>
      <c r="I17" s="218" t="s">
        <v>2047</v>
      </c>
      <c r="J17" s="218" t="s">
        <v>6797</v>
      </c>
      <c r="K17" s="267"/>
      <c r="L17" s="267"/>
      <c r="M17" s="267"/>
      <c r="N17" s="267"/>
      <c r="O17" s="267"/>
      <c r="P17" s="219"/>
      <c r="Q17" s="268"/>
      <c r="R17" s="216" t="str">
        <f ca="1">IF(ISERROR($V17),"",OFFSET('Smelter Look-up'!$C$4,$V17-4,0)&amp;"")</f>
        <v>PT Timah Tbk Kundur</v>
      </c>
      <c r="S17" s="224" t="str">
        <f t="shared" ca="1" si="0"/>
        <v>ID</v>
      </c>
      <c r="T17" s="224" t="str">
        <f ca="1">IF(B17="","",IF(ISERROR(MATCH($J17,SorP!$B$1:$B$6230,0)),"",INDIRECT("'SorP'!$A$"&amp;MATCH($J17,SorP!$B$1:$B$6230,0))))</f>
        <v>ID-RI</v>
      </c>
      <c r="U17" s="239"/>
      <c r="V17" s="269">
        <f>IF(C17="",NA(),MATCH($B17&amp;$C17,'Smelter Look-up'!$J:$J,0))</f>
        <v>471</v>
      </c>
      <c r="W17" s="270"/>
      <c r="X17" s="270">
        <f t="shared" si="1"/>
        <v>0</v>
      </c>
      <c r="Y17" s="270"/>
      <c r="Z17" s="270"/>
      <c r="AB17" s="272" t="str">
        <f t="shared" si="2"/>
        <v>TinPT Tambang Timah</v>
      </c>
    </row>
    <row r="18" spans="1:28" s="271" customFormat="1" ht="51">
      <c r="A18" s="347"/>
      <c r="B18" s="349" t="s">
        <v>1251</v>
      </c>
      <c r="C18" s="348" t="s">
        <v>1284</v>
      </c>
      <c r="D18" s="348" t="s">
        <v>1284</v>
      </c>
      <c r="E18" s="349" t="s">
        <v>1225</v>
      </c>
      <c r="F18" s="349" t="s">
        <v>890</v>
      </c>
      <c r="G18" s="349" t="s">
        <v>15501</v>
      </c>
      <c r="H18" s="217">
        <v>0</v>
      </c>
      <c r="I18" s="218" t="s">
        <v>2017</v>
      </c>
      <c r="J18" s="218" t="s">
        <v>13917</v>
      </c>
      <c r="K18" s="267"/>
      <c r="L18" s="267"/>
      <c r="M18" s="267"/>
      <c r="N18" s="267"/>
      <c r="O18" s="267"/>
      <c r="P18" s="219"/>
      <c r="Q18" s="268"/>
      <c r="R18" s="216" t="str">
        <f ca="1">IF(ISERROR($V18),"",OFFSET('Smelter Look-up'!$C$4,$V18-4,0)&amp;"")</f>
        <v>PT Stanindo Inti Perkasa</v>
      </c>
      <c r="S18" s="224" t="str">
        <f t="shared" ca="1" si="0"/>
        <v>ID</v>
      </c>
      <c r="T18" s="224" t="str">
        <f ca="1">IF(B18="","",IF(ISERROR(MATCH($J18,SorP!$B$1:$B$6230,0)),"",INDIRECT("'SorP'!$A$"&amp;MATCH($J18,SorP!$B$1:$B$6230,0))))</f>
        <v>ID-BB</v>
      </c>
      <c r="U18" s="239"/>
      <c r="V18" s="269">
        <f>IF(C18="",NA(),MATCH($B18&amp;$C18,'Smelter Look-up'!$J:$J,0))</f>
        <v>468</v>
      </c>
      <c r="W18" s="270"/>
      <c r="X18" s="270">
        <f t="shared" si="1"/>
        <v>0</v>
      </c>
      <c r="Y18" s="270"/>
      <c r="Z18" s="270"/>
      <c r="AB18" s="272" t="str">
        <f t="shared" si="2"/>
        <v>TinPT Stanindo Inti Perkasa</v>
      </c>
    </row>
    <row r="19" spans="1:28" s="271" customFormat="1" ht="63.75">
      <c r="A19" s="347"/>
      <c r="B19" s="349" t="s">
        <v>1251</v>
      </c>
      <c r="C19" s="348" t="s">
        <v>718</v>
      </c>
      <c r="D19" s="348" t="s">
        <v>718</v>
      </c>
      <c r="E19" s="349" t="s">
        <v>1225</v>
      </c>
      <c r="F19" s="349" t="s">
        <v>889</v>
      </c>
      <c r="G19" s="349" t="s">
        <v>15501</v>
      </c>
      <c r="H19" s="217">
        <v>0</v>
      </c>
      <c r="I19" s="218" t="s">
        <v>2017</v>
      </c>
      <c r="J19" s="218" t="s">
        <v>13917</v>
      </c>
      <c r="K19" s="267"/>
      <c r="L19" s="267"/>
      <c r="M19" s="267"/>
      <c r="N19" s="267"/>
      <c r="O19" s="267"/>
      <c r="P19" s="219"/>
      <c r="Q19" s="268"/>
      <c r="R19" s="216" t="str">
        <f ca="1">IF(ISERROR($V19),"",OFFSET('Smelter Look-up'!$C$4,$V19-4,0)&amp;"")</f>
        <v>PT Sariwiguna Binasentosa</v>
      </c>
      <c r="S19" s="224" t="str">
        <f t="shared" ca="1" si="0"/>
        <v>ID</v>
      </c>
      <c r="T19" s="224" t="str">
        <f ca="1">IF(B19="","",IF(ISERROR(MATCH($J19,SorP!$B$1:$B$6230,0)),"",INDIRECT("'SorP'!$A$"&amp;MATCH($J19,SorP!$B$1:$B$6230,0))))</f>
        <v>ID-BB</v>
      </c>
      <c r="U19" s="239"/>
      <c r="V19" s="269">
        <f>IF(C19="",NA(),MATCH($B19&amp;$C19,'Smelter Look-up'!$J:$J,0))</f>
        <v>467</v>
      </c>
      <c r="W19" s="270"/>
      <c r="X19" s="270">
        <f t="shared" si="1"/>
        <v>0</v>
      </c>
      <c r="Y19" s="270"/>
      <c r="Z19" s="270"/>
      <c r="AB19" s="272" t="str">
        <f t="shared" si="2"/>
        <v>TinPT Sariwiguna Binasentosa</v>
      </c>
    </row>
    <row r="20" spans="1:28" s="271" customFormat="1" ht="51">
      <c r="A20" s="347"/>
      <c r="B20" s="349" t="s">
        <v>1251</v>
      </c>
      <c r="C20" s="348" t="s">
        <v>2567</v>
      </c>
      <c r="D20" s="348" t="s">
        <v>2567</v>
      </c>
      <c r="E20" s="349" t="s">
        <v>1225</v>
      </c>
      <c r="F20" s="349" t="s">
        <v>888</v>
      </c>
      <c r="G20" s="349" t="s">
        <v>15501</v>
      </c>
      <c r="H20" s="217">
        <v>0</v>
      </c>
      <c r="I20" s="218" t="s">
        <v>2015</v>
      </c>
      <c r="J20" s="218" t="s">
        <v>13917</v>
      </c>
      <c r="K20" s="267"/>
      <c r="L20" s="267"/>
      <c r="M20" s="267"/>
      <c r="N20" s="267"/>
      <c r="O20" s="267"/>
      <c r="P20" s="219"/>
      <c r="Q20" s="268"/>
      <c r="R20" s="216" t="str">
        <f ca="1">IF(ISERROR($V20),"",OFFSET('Smelter Look-up'!$C$4,$V20-4,0)&amp;"")</f>
        <v>PT Refined Bangka Tin</v>
      </c>
      <c r="S20" s="224" t="str">
        <f t="shared" ca="1" si="0"/>
        <v>ID</v>
      </c>
      <c r="T20" s="224" t="str">
        <f ca="1">IF(B20="","",IF(ISERROR(MATCH($J20,SorP!$B$1:$B$6230,0)),"",INDIRECT("'SorP'!$A$"&amp;MATCH($J20,SorP!$B$1:$B$6230,0))))</f>
        <v>ID-BB</v>
      </c>
      <c r="U20" s="239"/>
      <c r="V20" s="269">
        <f>IF(C20="",NA(),MATCH($B20&amp;$C20,'Smelter Look-up'!$J:$J,0))</f>
        <v>466</v>
      </c>
      <c r="W20" s="270"/>
      <c r="X20" s="270">
        <f t="shared" si="1"/>
        <v>0</v>
      </c>
      <c r="Y20" s="270"/>
      <c r="Z20" s="270"/>
      <c r="AB20" s="272" t="str">
        <f t="shared" si="2"/>
        <v>TinPT Refined Bangka Tin</v>
      </c>
    </row>
    <row r="21" spans="1:28" s="271" customFormat="1" ht="51">
      <c r="A21" s="347"/>
      <c r="B21" s="349" t="s">
        <v>1251</v>
      </c>
      <c r="C21" s="348" t="s">
        <v>697</v>
      </c>
      <c r="D21" s="348" t="s">
        <v>697</v>
      </c>
      <c r="E21" s="349" t="s">
        <v>1225</v>
      </c>
      <c r="F21" s="349" t="s">
        <v>880</v>
      </c>
      <c r="G21" s="349" t="s">
        <v>15501</v>
      </c>
      <c r="H21" s="217">
        <v>0</v>
      </c>
      <c r="I21" s="218" t="s">
        <v>2015</v>
      </c>
      <c r="J21" s="218" t="s">
        <v>13917</v>
      </c>
      <c r="K21" s="267"/>
      <c r="L21" s="267"/>
      <c r="M21" s="267"/>
      <c r="N21" s="267"/>
      <c r="O21" s="267"/>
      <c r="P21" s="219"/>
      <c r="Q21" s="268"/>
      <c r="R21" s="216" t="str">
        <f ca="1">IF(ISERROR($V21),"",OFFSET('Smelter Look-up'!$C$4,$V21-4,0)&amp;"")</f>
        <v>PT Bangka Tin Industry</v>
      </c>
      <c r="S21" s="224" t="str">
        <f t="shared" ca="1" si="0"/>
        <v>ID</v>
      </c>
      <c r="T21" s="224" t="str">
        <f ca="1">IF(B21="","",IF(ISERROR(MATCH($J21,SorP!$B$1:$B$6230,0)),"",INDIRECT("'SorP'!$A$"&amp;MATCH($J21,SorP!$B$1:$B$6230,0))))</f>
        <v>ID-BB</v>
      </c>
      <c r="U21" s="239"/>
      <c r="V21" s="269">
        <f>IF(C21="",NA(),MATCH($B21&amp;$C21,'Smelter Look-up'!$J:$J,0))</f>
        <v>450</v>
      </c>
      <c r="W21" s="270"/>
      <c r="X21" s="270">
        <f t="shared" si="1"/>
        <v>0</v>
      </c>
      <c r="Y21" s="270"/>
      <c r="Z21" s="270"/>
      <c r="AB21" s="272" t="str">
        <f t="shared" si="2"/>
        <v>TinPT Bangka Tin Industry</v>
      </c>
    </row>
    <row r="22" spans="1:28" s="271" customFormat="1" ht="25.5">
      <c r="A22" s="347"/>
      <c r="B22" s="349" t="s">
        <v>1251</v>
      </c>
      <c r="C22" s="348" t="s">
        <v>926</v>
      </c>
      <c r="D22" s="348" t="s">
        <v>926</v>
      </c>
      <c r="E22" s="349" t="s">
        <v>998</v>
      </c>
      <c r="F22" s="349" t="s">
        <v>865</v>
      </c>
      <c r="G22" s="349" t="s">
        <v>15501</v>
      </c>
      <c r="H22" s="217">
        <v>0</v>
      </c>
      <c r="I22" s="218" t="s">
        <v>2022</v>
      </c>
      <c r="J22" s="218" t="s">
        <v>10373</v>
      </c>
      <c r="K22" s="267"/>
      <c r="L22" s="267"/>
      <c r="M22" s="267"/>
      <c r="N22" s="267"/>
      <c r="O22" s="267"/>
      <c r="P22" s="219"/>
      <c r="Q22" s="268"/>
      <c r="R22" s="216" t="str">
        <f ca="1">IF(ISERROR($V22),"",OFFSET('Smelter Look-up'!$C$4,$V22-4,0)&amp;"")</f>
        <v>Fenix Metals</v>
      </c>
      <c r="S22" s="224" t="str">
        <f t="shared" ca="1" si="0"/>
        <v>PL</v>
      </c>
      <c r="T22" s="224" t="str">
        <f ca="1">IF(B22="","",IF(ISERROR(MATCH($J22,SorP!$B$1:$B$6230,0)),"",INDIRECT("'SorP'!$A$"&amp;MATCH($J22,SorP!$B$1:$B$6230,0))))</f>
        <v>PL-18</v>
      </c>
      <c r="U22" s="239"/>
      <c r="V22" s="269">
        <f>IF(C22="",NA(),MATCH($B22&amp;$C22,'Smelter Look-up'!$J:$J,0))</f>
        <v>386</v>
      </c>
      <c r="W22" s="270"/>
      <c r="X22" s="270">
        <f t="shared" si="1"/>
        <v>0</v>
      </c>
      <c r="Y22" s="270"/>
      <c r="Z22" s="270"/>
      <c r="AB22" s="272" t="str">
        <f t="shared" si="2"/>
        <v>TinFenix Metals</v>
      </c>
    </row>
    <row r="23" spans="1:28" s="271" customFormat="1" ht="51">
      <c r="A23" s="347"/>
      <c r="B23" s="349" t="s">
        <v>1251</v>
      </c>
      <c r="C23" s="348" t="s">
        <v>2969</v>
      </c>
      <c r="D23" s="348" t="s">
        <v>2969</v>
      </c>
      <c r="E23" s="349" t="s">
        <v>1216</v>
      </c>
      <c r="F23" s="349" t="s">
        <v>1456</v>
      </c>
      <c r="G23" s="349" t="s">
        <v>15501</v>
      </c>
      <c r="H23" s="217">
        <v>0</v>
      </c>
      <c r="I23" s="218" t="s">
        <v>2014</v>
      </c>
      <c r="J23" s="218" t="s">
        <v>2020</v>
      </c>
      <c r="K23" s="267"/>
      <c r="L23" s="267"/>
      <c r="M23" s="267"/>
      <c r="N23" s="267"/>
      <c r="O23" s="267"/>
      <c r="P23" s="219"/>
      <c r="Q23" s="268"/>
      <c r="R23" s="216" t="str">
        <f ca="1">IF(ISERROR($V23),"",OFFSET('Smelter Look-up'!$C$4,$V23-4,0)&amp;"")</f>
        <v>Melt Metais e Ligas S.A.</v>
      </c>
      <c r="S23" s="224" t="str">
        <f t="shared" ca="1" si="0"/>
        <v>BR</v>
      </c>
      <c r="T23" s="224" t="str">
        <f ca="1">IF(B23="","",IF(ISERROR(MATCH($J23,SorP!$B$1:$B$6230,0)),"",INDIRECT("'SorP'!$A$"&amp;MATCH($J23,SorP!$B$1:$B$6230,0))))</f>
        <v>BR-RO</v>
      </c>
      <c r="U23" s="239"/>
      <c r="V23" s="269">
        <f>IF(C23="",NA(),MATCH($B23&amp;$C23,'Smelter Look-up'!$J:$J,0))</f>
        <v>419</v>
      </c>
      <c r="W23" s="270"/>
      <c r="X23" s="270">
        <f t="shared" si="1"/>
        <v>0</v>
      </c>
      <c r="Y23" s="270"/>
      <c r="Z23" s="270"/>
      <c r="AB23" s="272" t="str">
        <f t="shared" si="2"/>
        <v>TinMelt Metais e Ligas S.A.</v>
      </c>
    </row>
    <row r="24" spans="1:28" s="271" customFormat="1" ht="38.25">
      <c r="A24" s="347"/>
      <c r="B24" s="349" t="s">
        <v>1251</v>
      </c>
      <c r="C24" s="348" t="s">
        <v>2572</v>
      </c>
      <c r="D24" s="348" t="s">
        <v>2572</v>
      </c>
      <c r="E24" s="349" t="s">
        <v>1216</v>
      </c>
      <c r="F24" s="349" t="s">
        <v>895</v>
      </c>
      <c r="G24" s="349" t="s">
        <v>15501</v>
      </c>
      <c r="H24" s="217">
        <v>0</v>
      </c>
      <c r="I24" s="218" t="s">
        <v>2050</v>
      </c>
      <c r="J24" s="218" t="s">
        <v>1916</v>
      </c>
      <c r="K24" s="267"/>
      <c r="L24" s="267"/>
      <c r="M24" s="267"/>
      <c r="N24" s="267"/>
      <c r="O24" s="267"/>
      <c r="P24" s="219"/>
      <c r="Q24" s="268"/>
      <c r="R24" s="216" t="str">
        <f ca="1">IF(ISERROR($V24),"",OFFSET('Smelter Look-up'!$C$4,$V24-4,0)&amp;"")</f>
        <v>Soft Metais Ltda.</v>
      </c>
      <c r="S24" s="224" t="str">
        <f t="shared" ca="1" si="0"/>
        <v>BR</v>
      </c>
      <c r="T24" s="224" t="str">
        <f ca="1">IF(B24="","",IF(ISERROR(MATCH($J24,SorP!$B$1:$B$6230,0)),"",INDIRECT("'SorP'!$A$"&amp;MATCH($J24,SorP!$B$1:$B$6230,0))))</f>
        <v>BR-SP</v>
      </c>
      <c r="U24" s="239"/>
      <c r="V24" s="269">
        <f>IF(C24="",NA(),MATCH($B24&amp;$C24,'Smelter Look-up'!$J:$J,0))</f>
        <v>483</v>
      </c>
      <c r="W24" s="270"/>
      <c r="X24" s="270">
        <f t="shared" si="1"/>
        <v>0</v>
      </c>
      <c r="Y24" s="270"/>
      <c r="Z24" s="270"/>
      <c r="AB24" s="272" t="str">
        <f t="shared" si="2"/>
        <v>TinSoft Metais Ltda.</v>
      </c>
    </row>
    <row r="25" spans="1:28" s="271" customFormat="1" ht="89.25">
      <c r="A25" s="347"/>
      <c r="B25" s="349" t="s">
        <v>1251</v>
      </c>
      <c r="C25" s="348" t="s">
        <v>2553</v>
      </c>
      <c r="D25" s="348" t="s">
        <v>2553</v>
      </c>
      <c r="E25" s="349" t="s">
        <v>1220</v>
      </c>
      <c r="F25" s="349" t="s">
        <v>866</v>
      </c>
      <c r="G25" s="349" t="s">
        <v>15501</v>
      </c>
      <c r="H25" s="217">
        <v>0</v>
      </c>
      <c r="I25" s="218" t="s">
        <v>3109</v>
      </c>
      <c r="J25" s="218" t="s">
        <v>15502</v>
      </c>
      <c r="K25" s="267"/>
      <c r="L25" s="267"/>
      <c r="M25" s="267"/>
      <c r="N25" s="267"/>
      <c r="O25" s="267"/>
      <c r="P25" s="219"/>
      <c r="Q25" s="268"/>
      <c r="R25" s="216" t="str">
        <f ca="1">IF(ISERROR($V25),"",OFFSET('Smelter Look-up'!$C$4,$V25-4,0)&amp;"")</f>
        <v>Gejiu Non-Ferrous Metal Processing Co., Ltd.</v>
      </c>
      <c r="S25" s="224" t="str">
        <f t="shared" ca="1" si="0"/>
        <v>CN</v>
      </c>
      <c r="T25" s="224" t="str">
        <f ca="1">IF(B25="","",IF(ISERROR(MATCH($J25,SorP!$B$1:$B$6230,0)),"",INDIRECT("'SorP'!$A$"&amp;MATCH($J25,SorP!$B$1:$B$6230,0))))</f>
        <v/>
      </c>
      <c r="U25" s="239"/>
      <c r="V25" s="269">
        <f>IF(C25="",NA(),MATCH($B25&amp;$C25,'Smelter Look-up'!$J:$J,0))</f>
        <v>393</v>
      </c>
      <c r="W25" s="270"/>
      <c r="X25" s="270">
        <f t="shared" si="1"/>
        <v>0</v>
      </c>
      <c r="Y25" s="270"/>
      <c r="Z25" s="270"/>
      <c r="AB25" s="272" t="str">
        <f t="shared" si="2"/>
        <v>TinGejiu Non-Ferrous Metal Processing Co., Ltd.</v>
      </c>
    </row>
    <row r="26" spans="1:28" s="271" customFormat="1" ht="38.25">
      <c r="A26" s="347"/>
      <c r="B26" s="349" t="s">
        <v>1251</v>
      </c>
      <c r="C26" s="348" t="s">
        <v>698</v>
      </c>
      <c r="D26" s="348" t="s">
        <v>698</v>
      </c>
      <c r="E26" s="349" t="s">
        <v>1225</v>
      </c>
      <c r="F26" s="349" t="s">
        <v>883</v>
      </c>
      <c r="G26" s="349" t="s">
        <v>15501</v>
      </c>
      <c r="H26" s="217">
        <v>0</v>
      </c>
      <c r="I26" s="218" t="s">
        <v>2017</v>
      </c>
      <c r="J26" s="218" t="s">
        <v>13917</v>
      </c>
      <c r="K26" s="267"/>
      <c r="L26" s="267"/>
      <c r="M26" s="267"/>
      <c r="N26" s="267"/>
      <c r="O26" s="267"/>
      <c r="P26" s="219"/>
      <c r="Q26" s="268"/>
      <c r="R26" s="216" t="str">
        <f ca="1">IF(ISERROR($V26),"",OFFSET('Smelter Look-up'!$C$4,$V26-4,0)&amp;"")</f>
        <v>PT DS Jaya Abadi</v>
      </c>
      <c r="S26" s="224" t="str">
        <f t="shared" ca="1" si="0"/>
        <v>ID</v>
      </c>
      <c r="T26" s="224" t="str">
        <f ca="1">IF(B26="","",IF(ISERROR(MATCH($J26,SorP!$B$1:$B$6230,0)),"",INDIRECT("'SorP'!$A$"&amp;MATCH($J26,SorP!$B$1:$B$6230,0))))</f>
        <v>ID-BB</v>
      </c>
      <c r="U26" s="239"/>
      <c r="V26" s="269">
        <f>IF(C26="",NA(),MATCH($B26&amp;$C26,'Smelter Look-up'!$J:$J,0))</f>
        <v>453</v>
      </c>
      <c r="W26" s="270"/>
      <c r="X26" s="270">
        <f t="shared" si="1"/>
        <v>0</v>
      </c>
      <c r="Y26" s="270"/>
      <c r="Z26" s="270"/>
      <c r="AB26" s="272" t="str">
        <f t="shared" si="2"/>
        <v>TinPT DS Jaya Abadi</v>
      </c>
    </row>
    <row r="27" spans="1:28" s="271" customFormat="1" ht="51">
      <c r="A27" s="347"/>
      <c r="B27" s="349" t="s">
        <v>1251</v>
      </c>
      <c r="C27" s="348" t="s">
        <v>1546</v>
      </c>
      <c r="D27" s="348" t="s">
        <v>1546</v>
      </c>
      <c r="E27" s="349" t="s">
        <v>1225</v>
      </c>
      <c r="F27" s="349" t="s">
        <v>1547</v>
      </c>
      <c r="G27" s="349" t="s">
        <v>15501</v>
      </c>
      <c r="H27" s="217">
        <v>0</v>
      </c>
      <c r="I27" s="218" t="s">
        <v>2015</v>
      </c>
      <c r="J27" s="218" t="s">
        <v>13917</v>
      </c>
      <c r="K27" s="267"/>
      <c r="L27" s="267"/>
      <c r="M27" s="267"/>
      <c r="N27" s="267"/>
      <c r="O27" s="267"/>
      <c r="P27" s="219"/>
      <c r="Q27" s="268"/>
      <c r="R27" s="216" t="str">
        <f ca="1">IF(ISERROR($V27),"",OFFSET('Smelter Look-up'!$C$4,$V27-4,0)&amp;"")</f>
        <v>PT Inti Stania Prima</v>
      </c>
      <c r="S27" s="224" t="str">
        <f t="shared" ca="1" si="0"/>
        <v>ID</v>
      </c>
      <c r="T27" s="224" t="str">
        <f ca="1">IF(B27="","",IF(ISERROR(MATCH($J27,SorP!$B$1:$B$6230,0)),"",INDIRECT("'SorP'!$A$"&amp;MATCH($J27,SorP!$B$1:$B$6230,0))))</f>
        <v>ID-BB</v>
      </c>
      <c r="U27" s="239"/>
      <c r="V27" s="269">
        <f>IF(C27="",NA(),MATCH($B27&amp;$C27,'Smelter Look-up'!$J:$J,0))</f>
        <v>456</v>
      </c>
      <c r="W27" s="270"/>
      <c r="X27" s="270">
        <f t="shared" si="1"/>
        <v>0</v>
      </c>
      <c r="Y27" s="270"/>
      <c r="Z27" s="270"/>
      <c r="AB27" s="272" t="str">
        <f t="shared" si="2"/>
        <v>TinPT Inti Stania Prima</v>
      </c>
    </row>
    <row r="28" spans="1:28" s="271" customFormat="1" ht="51">
      <c r="A28" s="347"/>
      <c r="B28" s="349" t="s">
        <v>1251</v>
      </c>
      <c r="C28" s="348" t="s">
        <v>717</v>
      </c>
      <c r="D28" s="348" t="s">
        <v>717</v>
      </c>
      <c r="E28" s="349" t="s">
        <v>1225</v>
      </c>
      <c r="F28" s="349" t="s">
        <v>885</v>
      </c>
      <c r="G28" s="349" t="s">
        <v>15501</v>
      </c>
      <c r="H28" s="217">
        <v>0</v>
      </c>
      <c r="I28" s="218" t="s">
        <v>2015</v>
      </c>
      <c r="J28" s="218" t="s">
        <v>13917</v>
      </c>
      <c r="K28" s="267"/>
      <c r="L28" s="267"/>
      <c r="M28" s="267"/>
      <c r="N28" s="267"/>
      <c r="O28" s="267"/>
      <c r="P28" s="219"/>
      <c r="Q28" s="268"/>
      <c r="R28" s="216" t="str">
        <f ca="1">IF(ISERROR($V28),"",OFFSET('Smelter Look-up'!$C$4,$V28-4,0)&amp;"")</f>
        <v>PT Mitra Stania Prima</v>
      </c>
      <c r="S28" s="224" t="str">
        <f t="shared" ca="1" si="0"/>
        <v>ID</v>
      </c>
      <c r="T28" s="224" t="str">
        <f ca="1">IF(B28="","",IF(ISERROR(MATCH($J28,SorP!$B$1:$B$6230,0)),"",INDIRECT("'SorP'!$A$"&amp;MATCH($J28,SorP!$B$1:$B$6230,0))))</f>
        <v>ID-BB</v>
      </c>
      <c r="U28" s="239"/>
      <c r="V28" s="269">
        <f>IF(C28="",NA(),MATCH($B28&amp;$C28,'Smelter Look-up'!$J:$J,0))</f>
        <v>460</v>
      </c>
      <c r="W28" s="270"/>
      <c r="X28" s="270">
        <f t="shared" si="1"/>
        <v>0</v>
      </c>
      <c r="Y28" s="270"/>
      <c r="Z28" s="270"/>
      <c r="AB28" s="272" t="str">
        <f t="shared" si="2"/>
        <v>TinPT Mitra Stania Prima</v>
      </c>
    </row>
    <row r="29" spans="1:28" s="271" customFormat="1" ht="63.75">
      <c r="A29" s="347"/>
      <c r="B29" s="349" t="s">
        <v>1251</v>
      </c>
      <c r="C29" s="348" t="s">
        <v>14250</v>
      </c>
      <c r="D29" s="348" t="s">
        <v>14250</v>
      </c>
      <c r="E29" s="349" t="s">
        <v>1225</v>
      </c>
      <c r="F29" s="349" t="s">
        <v>881</v>
      </c>
      <c r="G29" s="349" t="s">
        <v>15501</v>
      </c>
      <c r="H29" s="217">
        <v>0</v>
      </c>
      <c r="I29" s="218" t="s">
        <v>14024</v>
      </c>
      <c r="J29" s="218" t="s">
        <v>13917</v>
      </c>
      <c r="K29" s="267"/>
      <c r="L29" s="267"/>
      <c r="M29" s="267"/>
      <c r="N29" s="267"/>
      <c r="O29" s="267"/>
      <c r="P29" s="219"/>
      <c r="Q29" s="268"/>
      <c r="R29" s="216" t="str">
        <f ca="1">IF(ISERROR($V29),"",OFFSET('Smelter Look-up'!$C$4,$V29-4,0)&amp;"")</f>
        <v>PT Belitung Industri Sejahtera</v>
      </c>
      <c r="S29" s="224" t="str">
        <f t="shared" ca="1" si="0"/>
        <v>ID</v>
      </c>
      <c r="T29" s="224" t="str">
        <f ca="1">IF(B29="","",IF(ISERROR(MATCH($J29,SorP!$B$1:$B$6230,0)),"",INDIRECT("'SorP'!$A$"&amp;MATCH($J29,SorP!$B$1:$B$6230,0))))</f>
        <v>ID-BB</v>
      </c>
      <c r="U29" s="239"/>
      <c r="V29" s="269">
        <f>IF(C29="",NA(),MATCH($B29&amp;$C29,'Smelter Look-up'!$J:$J,0))</f>
        <v>451</v>
      </c>
      <c r="W29" s="270"/>
      <c r="X29" s="270">
        <f t="shared" si="1"/>
        <v>0</v>
      </c>
      <c r="Y29" s="270"/>
      <c r="Z29" s="270"/>
      <c r="AB29" s="272" t="str">
        <f t="shared" si="2"/>
        <v>TinPT Belitung Industri Sejahtera</v>
      </c>
    </row>
    <row r="30" spans="1:28" s="271" customFormat="1" ht="51">
      <c r="A30" s="347"/>
      <c r="B30" s="349" t="s">
        <v>1251</v>
      </c>
      <c r="C30" s="348" t="s">
        <v>960</v>
      </c>
      <c r="D30" s="348" t="s">
        <v>960</v>
      </c>
      <c r="E30" s="349" t="s">
        <v>1225</v>
      </c>
      <c r="F30" s="349" t="s">
        <v>879</v>
      </c>
      <c r="G30" s="349" t="s">
        <v>15501</v>
      </c>
      <c r="H30" s="217">
        <v>0</v>
      </c>
      <c r="I30" s="218" t="s">
        <v>2042</v>
      </c>
      <c r="J30" s="218" t="s">
        <v>13917</v>
      </c>
      <c r="K30" s="267"/>
      <c r="L30" s="267"/>
      <c r="M30" s="267"/>
      <c r="N30" s="267"/>
      <c r="O30" s="267"/>
      <c r="P30" s="219"/>
      <c r="Q30" s="268"/>
      <c r="R30" s="216" t="str">
        <f ca="1">IF(ISERROR($V30),"",OFFSET('Smelter Look-up'!$C$4,$V30-4,0)&amp;"")</f>
        <v>PT Babel Inti Perkasa</v>
      </c>
      <c r="S30" s="224" t="str">
        <f t="shared" ca="1" si="0"/>
        <v>ID</v>
      </c>
      <c r="T30" s="224" t="str">
        <f ca="1">IF(B30="","",IF(ISERROR(MATCH($J30,SorP!$B$1:$B$6230,0)),"",INDIRECT("'SorP'!$A$"&amp;MATCH($J30,SorP!$B$1:$B$6230,0))))</f>
        <v>ID-BB</v>
      </c>
      <c r="U30" s="239"/>
      <c r="V30" s="269">
        <f>IF(C30="",NA(),MATCH($B30&amp;$C30,'Smelter Look-up'!$J:$J,0))</f>
        <v>445</v>
      </c>
      <c r="W30" s="270"/>
      <c r="X30" s="270">
        <f t="shared" si="1"/>
        <v>0</v>
      </c>
      <c r="Y30" s="270"/>
      <c r="Z30" s="270"/>
      <c r="AB30" s="272" t="str">
        <f t="shared" si="2"/>
        <v>TinPT Babel Inti Perkasa</v>
      </c>
    </row>
    <row r="31" spans="1:28" s="271" customFormat="1" ht="51">
      <c r="A31" s="347"/>
      <c r="B31" s="349" t="s">
        <v>1251</v>
      </c>
      <c r="C31" s="348" t="s">
        <v>717</v>
      </c>
      <c r="D31" s="348" t="s">
        <v>717</v>
      </c>
      <c r="E31" s="349" t="s">
        <v>1225</v>
      </c>
      <c r="F31" s="349" t="s">
        <v>885</v>
      </c>
      <c r="G31" s="349" t="s">
        <v>15501</v>
      </c>
      <c r="H31" s="217">
        <v>0</v>
      </c>
      <c r="I31" s="218" t="s">
        <v>2015</v>
      </c>
      <c r="J31" s="218" t="s">
        <v>13917</v>
      </c>
      <c r="K31" s="267"/>
      <c r="L31" s="267"/>
      <c r="M31" s="267"/>
      <c r="N31" s="267"/>
      <c r="O31" s="267"/>
      <c r="P31" s="219"/>
      <c r="Q31" s="268"/>
      <c r="R31" s="216" t="str">
        <f ca="1">IF(ISERROR($V31),"",OFFSET('Smelter Look-up'!$C$4,$V31-4,0)&amp;"")</f>
        <v>PT Mitra Stania Prima</v>
      </c>
      <c r="S31" s="224" t="str">
        <f t="shared" ca="1" si="0"/>
        <v>ID</v>
      </c>
      <c r="T31" s="224" t="str">
        <f ca="1">IF(B31="","",IF(ISERROR(MATCH($J31,SorP!$B$1:$B$6230,0)),"",INDIRECT("'SorP'!$A$"&amp;MATCH($J31,SorP!$B$1:$B$6230,0))))</f>
        <v>ID-BB</v>
      </c>
      <c r="U31" s="239"/>
      <c r="V31" s="269">
        <f>IF(C31="",NA(),MATCH($B31&amp;$C31,'Smelter Look-up'!$J:$J,0))</f>
        <v>460</v>
      </c>
      <c r="W31" s="270"/>
      <c r="X31" s="270">
        <f t="shared" si="1"/>
        <v>0</v>
      </c>
      <c r="Y31" s="270"/>
      <c r="Z31" s="270"/>
      <c r="AB31" s="272" t="str">
        <f t="shared" si="2"/>
        <v>TinPT Mitra Stania Prima</v>
      </c>
    </row>
    <row r="32" spans="1:28" s="271" customFormat="1" ht="25.5">
      <c r="A32" s="347"/>
      <c r="B32" s="349" t="s">
        <v>1251</v>
      </c>
      <c r="C32" s="348" t="s">
        <v>893</v>
      </c>
      <c r="D32" s="348" t="s">
        <v>893</v>
      </c>
      <c r="E32" s="349" t="s">
        <v>3091</v>
      </c>
      <c r="F32" s="349" t="s">
        <v>894</v>
      </c>
      <c r="G32" s="349" t="s">
        <v>15501</v>
      </c>
      <c r="H32" s="217">
        <v>0</v>
      </c>
      <c r="I32" s="218" t="s">
        <v>15504</v>
      </c>
      <c r="J32" s="218" t="s">
        <v>15505</v>
      </c>
      <c r="K32" s="267"/>
      <c r="L32" s="267"/>
      <c r="M32" s="267"/>
      <c r="N32" s="267"/>
      <c r="O32" s="267"/>
      <c r="P32" s="219"/>
      <c r="Q32" s="268"/>
      <c r="R32" s="216" t="str">
        <f ca="1">IF(ISERROR($V32),"",OFFSET('Smelter Look-up'!$C$4,$V32-4,0)&amp;"")</f>
        <v>Rui Da Hung</v>
      </c>
      <c r="S32" s="224" t="str">
        <f t="shared" ca="1" si="0"/>
        <v>TW</v>
      </c>
      <c r="T32" s="224" t="str">
        <f ca="1">IF(B32="","",IF(ISERROR(MATCH($J32,SorP!$B$1:$B$6230,0)),"",INDIRECT("'SorP'!$A$"&amp;MATCH($J32,SorP!$B$1:$B$6230,0))))</f>
        <v/>
      </c>
      <c r="U32" s="239"/>
      <c r="V32" s="269">
        <f>IF(C32="",NA(),MATCH($B32&amp;$C32,'Smelter Look-up'!$J:$J,0))</f>
        <v>480</v>
      </c>
      <c r="W32" s="270"/>
      <c r="X32" s="270">
        <f t="shared" si="1"/>
        <v>0</v>
      </c>
      <c r="Y32" s="270"/>
      <c r="Z32" s="270"/>
      <c r="AB32" s="272" t="str">
        <f t="shared" si="2"/>
        <v>TinRui Da Hung</v>
      </c>
    </row>
    <row r="33" spans="1:28" s="271" customFormat="1" ht="102">
      <c r="A33" s="347"/>
      <c r="B33" s="349" t="s">
        <v>1250</v>
      </c>
      <c r="C33" s="348" t="s">
        <v>56</v>
      </c>
      <c r="D33" s="349"/>
      <c r="E33" s="349" t="s">
        <v>1221</v>
      </c>
      <c r="F33" s="349" t="s">
        <v>742</v>
      </c>
      <c r="G33" s="349" t="s">
        <v>14357</v>
      </c>
      <c r="H33" s="217">
        <v>0</v>
      </c>
      <c r="I33" s="218" t="s">
        <v>1779</v>
      </c>
      <c r="J33" s="218" t="s">
        <v>1780</v>
      </c>
      <c r="K33" s="267"/>
      <c r="L33" s="267"/>
      <c r="M33" s="267"/>
      <c r="N33" s="267"/>
      <c r="O33" s="267"/>
      <c r="P33" s="219"/>
      <c r="Q33" s="268"/>
      <c r="R33" s="216" t="str">
        <f ca="1">IF(ISERROR($V33),"",OFFSET('Smelter Look-up'!$C$4,$V33-4,0)&amp;"")</f>
        <v>Allgemeine Gold-und Silberscheideanstalt A.G.</v>
      </c>
      <c r="S33" s="224" t="str">
        <f t="shared" ca="1" si="0"/>
        <v>DE</v>
      </c>
      <c r="T33" s="224" t="str">
        <f ca="1">IF(B33="","",IF(ISERROR(MATCH($J33,SorP!$B$1:$B$6230,0)),"",INDIRECT("'SorP'!$A$"&amp;MATCH($J33,SorP!$B$1:$B$6230,0))))</f>
        <v>DE-BW</v>
      </c>
      <c r="U33" s="239"/>
      <c r="V33" s="269">
        <f>IF(C33="",NA(),MATCH($B33&amp;$C33,'Smelter Look-up'!$J:$J,0))</f>
        <v>14</v>
      </c>
      <c r="W33" s="270"/>
      <c r="X33" s="270">
        <f t="shared" si="1"/>
        <v>0</v>
      </c>
      <c r="Y33" s="270"/>
      <c r="Z33" s="270"/>
      <c r="AB33" s="272" t="str">
        <f t="shared" si="2"/>
        <v>GoldAllgemeine Gold-und Silberscheideanstalt A.G.</v>
      </c>
    </row>
    <row r="34" spans="1:28" s="271" customFormat="1" ht="89.25">
      <c r="A34" s="215"/>
      <c r="B34" s="216" t="s">
        <v>1250</v>
      </c>
      <c r="C34" s="220" t="s">
        <v>13316</v>
      </c>
      <c r="D34" s="216"/>
      <c r="E34" s="216" t="s">
        <v>1216</v>
      </c>
      <c r="F34" s="216" t="s">
        <v>744</v>
      </c>
      <c r="G34" s="216" t="s">
        <v>14357</v>
      </c>
      <c r="H34" s="217">
        <v>0</v>
      </c>
      <c r="I34" s="218" t="s">
        <v>1783</v>
      </c>
      <c r="J34" s="218" t="s">
        <v>1784</v>
      </c>
      <c r="K34" s="267"/>
      <c r="L34" s="267"/>
      <c r="M34" s="267"/>
      <c r="N34" s="267"/>
      <c r="O34" s="267"/>
      <c r="P34" s="219"/>
      <c r="Q34" s="268"/>
      <c r="R34" s="216" t="str">
        <f ca="1">IF(ISERROR($V34),"",OFFSET('Smelter Look-up'!$C$4,$V34-4,0)&amp;"")</f>
        <v>AngloGold Ashanti Corrego do Sitio Mineracao</v>
      </c>
      <c r="S34" s="224" t="str">
        <f t="shared" ca="1" si="0"/>
        <v>BR</v>
      </c>
      <c r="T34" s="224" t="str">
        <f ca="1">IF(B34="","",IF(ISERROR(MATCH($J34,SorP!$B$1:$B$6230,0)),"",INDIRECT("'SorP'!$A$"&amp;MATCH($J34,SorP!$B$1:$B$6230,0))))</f>
        <v>BR-MG</v>
      </c>
      <c r="U34" s="239"/>
      <c r="V34" s="269">
        <f>IF(C34="",NA(),MATCH($B34&amp;$C34,'Smelter Look-up'!$J:$J,0))</f>
        <v>18</v>
      </c>
      <c r="W34" s="270"/>
      <c r="X34" s="270">
        <f t="shared" si="1"/>
        <v>0</v>
      </c>
      <c r="Y34" s="270"/>
      <c r="Z34" s="270"/>
      <c r="AB34" s="272" t="str">
        <f t="shared" si="2"/>
        <v>GoldAngloGold Ashanti Corrego do Sitio Mineracao</v>
      </c>
    </row>
    <row r="35" spans="1:28" s="271" customFormat="1" ht="51">
      <c r="A35" s="215"/>
      <c r="B35" s="216" t="s">
        <v>1250</v>
      </c>
      <c r="C35" s="220" t="s">
        <v>2906</v>
      </c>
      <c r="D35" s="216"/>
      <c r="E35" s="216" t="s">
        <v>1218</v>
      </c>
      <c r="F35" s="216" t="s">
        <v>745</v>
      </c>
      <c r="G35" s="216" t="s">
        <v>14357</v>
      </c>
      <c r="H35" s="217">
        <v>0</v>
      </c>
      <c r="I35" s="218" t="s">
        <v>1785</v>
      </c>
      <c r="J35" s="218" t="s">
        <v>1786</v>
      </c>
      <c r="K35" s="267"/>
      <c r="L35" s="267"/>
      <c r="M35" s="267"/>
      <c r="N35" s="267"/>
      <c r="O35" s="267"/>
      <c r="P35" s="219"/>
      <c r="Q35" s="268"/>
      <c r="R35" s="216" t="str">
        <f ca="1">IF(ISERROR($V35),"",OFFSET('Smelter Look-up'!$C$4,$V35-4,0)&amp;"")</f>
        <v>Argor-Heraeus S.A.</v>
      </c>
      <c r="S35" s="224" t="str">
        <f t="shared" ca="1" si="0"/>
        <v>CH</v>
      </c>
      <c r="T35" s="224" t="str">
        <f ca="1">IF(B35="","",IF(ISERROR(MATCH($J35,SorP!$B$1:$B$6230,0)),"",INDIRECT("'SorP'!$A$"&amp;MATCH($J35,SorP!$B$1:$B$6230,0))))</f>
        <v>CH-TI</v>
      </c>
      <c r="U35" s="239"/>
      <c r="V35" s="269">
        <f>IF(C35="",NA(),MATCH($B35&amp;$C35,'Smelter Look-up'!$J:$J,0))</f>
        <v>23</v>
      </c>
      <c r="W35" s="270"/>
      <c r="X35" s="270">
        <f t="shared" si="1"/>
        <v>0</v>
      </c>
      <c r="Y35" s="270"/>
      <c r="Z35" s="270"/>
      <c r="AB35" s="272" t="str">
        <f t="shared" si="2"/>
        <v>GoldArgor-Heraeus S.A.</v>
      </c>
    </row>
    <row r="36" spans="1:28" s="271" customFormat="1" ht="25.5">
      <c r="A36" s="215"/>
      <c r="B36" s="216" t="s">
        <v>1250</v>
      </c>
      <c r="C36" s="220" t="s">
        <v>1350</v>
      </c>
      <c r="D36" s="216"/>
      <c r="E36" s="216" t="s">
        <v>1221</v>
      </c>
      <c r="F36" s="216" t="s">
        <v>749</v>
      </c>
      <c r="G36" s="216" t="s">
        <v>14357</v>
      </c>
      <c r="H36" s="217">
        <v>0</v>
      </c>
      <c r="I36" s="218" t="s">
        <v>1793</v>
      </c>
      <c r="J36" s="218" t="s">
        <v>1793</v>
      </c>
      <c r="K36" s="267"/>
      <c r="L36" s="267"/>
      <c r="M36" s="267"/>
      <c r="N36" s="267"/>
      <c r="O36" s="267"/>
      <c r="P36" s="219"/>
      <c r="Q36" s="268"/>
      <c r="R36" s="216" t="str">
        <f ca="1">IF(ISERROR($V36),"",OFFSET('Smelter Look-up'!$C$4,$V36-4,0)&amp;"")</f>
        <v>Aurubis AG</v>
      </c>
      <c r="S36" s="224" t="str">
        <f t="shared" ca="1" si="0"/>
        <v>DE</v>
      </c>
      <c r="T36" s="224" t="str">
        <f ca="1">IF(B36="","",IF(ISERROR(MATCH($J36,SorP!$B$1:$B$6230,0)),"",INDIRECT("'SorP'!$A$"&amp;MATCH($J36,SorP!$B$1:$B$6230,0))))</f>
        <v>DE-HH</v>
      </c>
      <c r="U36" s="239"/>
      <c r="V36" s="269">
        <f>IF(C36="",NA(),MATCH($B36&amp;$C36,'Smelter Look-up'!$J:$J,0))</f>
        <v>31</v>
      </c>
      <c r="W36" s="270"/>
      <c r="X36" s="270">
        <f t="shared" si="1"/>
        <v>0</v>
      </c>
      <c r="Y36" s="270"/>
      <c r="Z36" s="270"/>
      <c r="AB36" s="272" t="str">
        <f t="shared" si="2"/>
        <v>GoldAurubis AG</v>
      </c>
    </row>
    <row r="37" spans="1:28" s="271" customFormat="1" ht="127.5">
      <c r="A37" s="215"/>
      <c r="B37" s="216" t="s">
        <v>1250</v>
      </c>
      <c r="C37" s="220" t="s">
        <v>1020</v>
      </c>
      <c r="D37" s="216"/>
      <c r="E37" s="216" t="s">
        <v>997</v>
      </c>
      <c r="F37" s="216" t="s">
        <v>750</v>
      </c>
      <c r="G37" s="216" t="s">
        <v>14357</v>
      </c>
      <c r="H37" s="217">
        <v>0</v>
      </c>
      <c r="I37" s="218" t="s">
        <v>2631</v>
      </c>
      <c r="J37" s="218" t="s">
        <v>10317</v>
      </c>
      <c r="K37" s="267"/>
      <c r="L37" s="267"/>
      <c r="M37" s="267"/>
      <c r="N37" s="267"/>
      <c r="O37" s="267"/>
      <c r="P37" s="219"/>
      <c r="Q37" s="268"/>
      <c r="R37" s="216" t="str">
        <f ca="1">IF(ISERROR($V37),"",OFFSET('Smelter Look-up'!$C$4,$V37-4,0)&amp;"")</f>
        <v>Bangko Sentral ng Pilipinas (Central Bank of the Philippines)</v>
      </c>
      <c r="S37" s="224" t="str">
        <f t="shared" ca="1" si="0"/>
        <v>PH</v>
      </c>
      <c r="T37" s="224" t="str">
        <f ca="1">IF(B37="","",IF(ISERROR(MATCH($J37,SorP!$B$1:$B$6230,0)),"",INDIRECT("'SorP'!$A$"&amp;MATCH($J37,SorP!$B$1:$B$6230,0))))</f>
        <v>PH-RIZ</v>
      </c>
      <c r="U37" s="239"/>
      <c r="V37" s="269">
        <f>IF(C37="",NA(),MATCH($B37&amp;$C37,'Smelter Look-up'!$J:$J,0))</f>
        <v>35</v>
      </c>
      <c r="W37" s="270"/>
      <c r="X37" s="270">
        <f t="shared" si="1"/>
        <v>0</v>
      </c>
      <c r="Y37" s="270"/>
      <c r="Z37" s="270"/>
      <c r="AB37" s="272" t="str">
        <f t="shared" si="2"/>
        <v>GoldBangko Sentral ng Pilipinas (Central Bank of the Philippines)</v>
      </c>
    </row>
    <row r="38" spans="1:28" s="271" customFormat="1" ht="25.5">
      <c r="A38" s="215"/>
      <c r="B38" s="216" t="s">
        <v>1250</v>
      </c>
      <c r="C38" s="220" t="s">
        <v>1352</v>
      </c>
      <c r="D38" s="216"/>
      <c r="E38" s="216" t="s">
        <v>1003</v>
      </c>
      <c r="F38" s="216" t="s">
        <v>751</v>
      </c>
      <c r="G38" s="216" t="s">
        <v>14357</v>
      </c>
      <c r="H38" s="217">
        <v>0</v>
      </c>
      <c r="I38" s="218" t="s">
        <v>1795</v>
      </c>
      <c r="J38" s="218" t="s">
        <v>11147</v>
      </c>
      <c r="K38" s="267"/>
      <c r="L38" s="267"/>
      <c r="M38" s="267"/>
      <c r="N38" s="267"/>
      <c r="O38" s="267"/>
      <c r="P38" s="219"/>
      <c r="Q38" s="268"/>
      <c r="R38" s="216" t="str">
        <f ca="1">IF(ISERROR($V38),"",OFFSET('Smelter Look-up'!$C$4,$V38-4,0)&amp;"")</f>
        <v>Boliden AB</v>
      </c>
      <c r="S38" s="224" t="str">
        <f t="shared" ca="1" si="0"/>
        <v>SE</v>
      </c>
      <c r="T38" s="224" t="str">
        <f ca="1">IF(B38="","",IF(ISERROR(MATCH($J38,SorP!$B$1:$B$6230,0)),"",INDIRECT("'SorP'!$A$"&amp;MATCH($J38,SorP!$B$1:$B$6230,0))))</f>
        <v>SE-AC</v>
      </c>
      <c r="U38" s="239"/>
      <c r="V38" s="269">
        <f>IF(C38="",NA(),MATCH($B38&amp;$C38,'Smelter Look-up'!$J:$J,0))</f>
        <v>36</v>
      </c>
      <c r="W38" s="270"/>
      <c r="X38" s="270">
        <f t="shared" si="1"/>
        <v>0</v>
      </c>
      <c r="Y38" s="270"/>
      <c r="Z38" s="270"/>
      <c r="AB38" s="272" t="str">
        <f t="shared" si="2"/>
        <v>GoldBoliden AB</v>
      </c>
    </row>
    <row r="39" spans="1:28" s="271" customFormat="1" ht="51">
      <c r="A39" s="215"/>
      <c r="B39" s="216" t="s">
        <v>1250</v>
      </c>
      <c r="C39" s="220" t="s">
        <v>752</v>
      </c>
      <c r="D39" s="216"/>
      <c r="E39" s="216" t="s">
        <v>1221</v>
      </c>
      <c r="F39" s="216" t="s">
        <v>753</v>
      </c>
      <c r="G39" s="216" t="s">
        <v>14357</v>
      </c>
      <c r="H39" s="217">
        <v>0</v>
      </c>
      <c r="I39" s="218" t="s">
        <v>1779</v>
      </c>
      <c r="J39" s="218" t="s">
        <v>1780</v>
      </c>
      <c r="K39" s="267"/>
      <c r="L39" s="267"/>
      <c r="M39" s="267"/>
      <c r="N39" s="267"/>
      <c r="O39" s="267"/>
      <c r="P39" s="219"/>
      <c r="Q39" s="268"/>
      <c r="R39" s="216" t="str">
        <f ca="1">IF(ISERROR($V39),"",OFFSET('Smelter Look-up'!$C$4,$V39-4,0)&amp;"")</f>
        <v>C. Hafner GmbH + Co. KG</v>
      </c>
      <c r="S39" s="224" t="str">
        <f t="shared" ca="1" si="0"/>
        <v>DE</v>
      </c>
      <c r="T39" s="224" t="str">
        <f ca="1">IF(B39="","",IF(ISERROR(MATCH($J39,SorP!$B$1:$B$6230,0)),"",INDIRECT("'SorP'!$A$"&amp;MATCH($J39,SorP!$B$1:$B$6230,0))))</f>
        <v>DE-BW</v>
      </c>
      <c r="U39" s="239"/>
      <c r="V39" s="269">
        <f>IF(C39="",NA(),MATCH($B39&amp;$C39,'Smelter Look-up'!$J:$J,0))</f>
        <v>37</v>
      </c>
      <c r="W39" s="270"/>
      <c r="X39" s="270">
        <f t="shared" si="1"/>
        <v>0</v>
      </c>
      <c r="Y39" s="270"/>
      <c r="Z39" s="270"/>
      <c r="AB39" s="272" t="str">
        <f t="shared" si="2"/>
        <v>GoldC. Hafner GmbH + Co. KG</v>
      </c>
    </row>
    <row r="40" spans="1:28" s="271" customFormat="1" ht="38.25">
      <c r="A40" s="215"/>
      <c r="B40" s="216" t="s">
        <v>1250</v>
      </c>
      <c r="C40" s="220" t="s">
        <v>57</v>
      </c>
      <c r="D40" s="216"/>
      <c r="E40" s="216" t="s">
        <v>1227</v>
      </c>
      <c r="F40" s="216" t="s">
        <v>757</v>
      </c>
      <c r="G40" s="216" t="s">
        <v>14357</v>
      </c>
      <c r="H40" s="217">
        <v>0</v>
      </c>
      <c r="I40" s="218" t="s">
        <v>1806</v>
      </c>
      <c r="J40" s="218" t="s">
        <v>7238</v>
      </c>
      <c r="K40" s="267"/>
      <c r="L40" s="267"/>
      <c r="M40" s="267"/>
      <c r="N40" s="267"/>
      <c r="O40" s="267"/>
      <c r="P40" s="219"/>
      <c r="Q40" s="268"/>
      <c r="R40" s="216" t="str">
        <f ca="1">IF(ISERROR($V40),"",OFFSET('Smelter Look-up'!$C$4,$V40-4,0)&amp;"")</f>
        <v>Chimet S.p.A.</v>
      </c>
      <c r="S40" s="224" t="str">
        <f t="shared" ca="1" si="0"/>
        <v>IT</v>
      </c>
      <c r="T40" s="224" t="str">
        <f ca="1">IF(B40="","",IF(ISERROR(MATCH($J40,SorP!$B$1:$B$6230,0)),"",INDIRECT("'SorP'!$A$"&amp;MATCH($J40,SorP!$B$1:$B$6230,0))))</f>
        <v>IT-52</v>
      </c>
      <c r="U40" s="239"/>
      <c r="V40" s="269">
        <f>IF(C40="",NA(),MATCH($B40&amp;$C40,'Smelter Look-up'!$J:$J,0))</f>
        <v>47</v>
      </c>
      <c r="W40" s="270"/>
      <c r="X40" s="270">
        <f t="shared" si="1"/>
        <v>0</v>
      </c>
      <c r="Y40" s="270"/>
      <c r="Z40" s="270"/>
      <c r="AB40" s="272" t="str">
        <f t="shared" si="2"/>
        <v>GoldChimet S.p.A.</v>
      </c>
    </row>
    <row r="41" spans="1:28" s="271" customFormat="1" ht="25.5">
      <c r="A41" s="215"/>
      <c r="B41" s="216" t="s">
        <v>1250</v>
      </c>
      <c r="C41" s="220" t="s">
        <v>1022</v>
      </c>
      <c r="D41" s="216"/>
      <c r="E41" s="216" t="s">
        <v>1228</v>
      </c>
      <c r="F41" s="216" t="s">
        <v>765</v>
      </c>
      <c r="G41" s="216" t="s">
        <v>14357</v>
      </c>
      <c r="H41" s="217">
        <v>0</v>
      </c>
      <c r="I41" s="218" t="s">
        <v>1812</v>
      </c>
      <c r="J41" s="218" t="s">
        <v>1813</v>
      </c>
      <c r="K41" s="267"/>
      <c r="L41" s="267"/>
      <c r="M41" s="267"/>
      <c r="N41" s="267"/>
      <c r="O41" s="267"/>
      <c r="P41" s="219"/>
      <c r="Q41" s="268"/>
      <c r="R41" s="216" t="str">
        <f ca="1">IF(ISERROR($V41),"",OFFSET('Smelter Look-up'!$C$4,$V41-4,0)&amp;"")</f>
        <v>Dowa</v>
      </c>
      <c r="S41" s="224" t="str">
        <f t="shared" ca="1" si="0"/>
        <v>JP</v>
      </c>
      <c r="T41" s="224" t="str">
        <f ca="1">IF(B41="","",IF(ISERROR(MATCH($J41,SorP!$B$1:$B$6230,0)),"",INDIRECT("'SorP'!$A$"&amp;MATCH($J41,SorP!$B$1:$B$6230,0))))</f>
        <v>JP-05</v>
      </c>
      <c r="U41" s="239"/>
      <c r="V41" s="269">
        <f>IF(C41="",NA(),MATCH($B41&amp;$C41,'Smelter Look-up'!$J:$J,0))</f>
        <v>61</v>
      </c>
      <c r="W41" s="270"/>
      <c r="X41" s="270">
        <f t="shared" si="1"/>
        <v>0</v>
      </c>
      <c r="Y41" s="270"/>
      <c r="Z41" s="270"/>
      <c r="AB41" s="272" t="str">
        <f t="shared" si="2"/>
        <v>GoldDowa</v>
      </c>
    </row>
    <row r="42" spans="1:28" s="271" customFormat="1" ht="51">
      <c r="A42" s="215"/>
      <c r="B42" s="216" t="s">
        <v>1250</v>
      </c>
      <c r="C42" s="220" t="s">
        <v>1156</v>
      </c>
      <c r="D42" s="216"/>
      <c r="E42" s="216" t="s">
        <v>1221</v>
      </c>
      <c r="F42" s="216" t="s">
        <v>770</v>
      </c>
      <c r="G42" s="216" t="s">
        <v>14357</v>
      </c>
      <c r="H42" s="217">
        <v>0</v>
      </c>
      <c r="I42" s="218" t="s">
        <v>1779</v>
      </c>
      <c r="J42" s="218" t="s">
        <v>1780</v>
      </c>
      <c r="K42" s="267"/>
      <c r="L42" s="267"/>
      <c r="M42" s="267"/>
      <c r="N42" s="267"/>
      <c r="O42" s="267"/>
      <c r="P42" s="219"/>
      <c r="Q42" s="268"/>
      <c r="R42" s="216" t="str">
        <f ca="1">IF(ISERROR($V42),"",OFFSET('Smelter Look-up'!$C$4,$V42-4,0)&amp;"")</f>
        <v>Heimerle + Meule GmbH</v>
      </c>
      <c r="S42" s="224" t="str">
        <f t="shared" ca="1" si="0"/>
        <v>DE</v>
      </c>
      <c r="T42" s="224" t="str">
        <f ca="1">IF(B42="","",IF(ISERROR(MATCH($J42,SorP!$B$1:$B$6230,0)),"",INDIRECT("'SorP'!$A$"&amp;MATCH($J42,SorP!$B$1:$B$6230,0))))</f>
        <v>DE-BW</v>
      </c>
      <c r="U42" s="239"/>
      <c r="V42" s="269">
        <f>IF(C42="",NA(),MATCH($B42&amp;$C42,'Smelter Look-up'!$J:$J,0))</f>
        <v>86</v>
      </c>
      <c r="W42" s="270"/>
      <c r="X42" s="270">
        <f t="shared" si="1"/>
        <v>0</v>
      </c>
      <c r="Y42" s="270"/>
      <c r="Z42" s="270"/>
      <c r="AB42" s="272" t="str">
        <f t="shared" si="2"/>
        <v>GoldHeimerle + Meule GmbH</v>
      </c>
    </row>
    <row r="43" spans="1:28" s="271" customFormat="1" ht="76.5">
      <c r="A43" s="215"/>
      <c r="B43" s="216" t="s">
        <v>1250</v>
      </c>
      <c r="C43" s="220" t="s">
        <v>3193</v>
      </c>
      <c r="D43" s="216"/>
      <c r="E43" s="216" t="s">
        <v>1220</v>
      </c>
      <c r="F43" s="216" t="s">
        <v>771</v>
      </c>
      <c r="G43" s="216" t="s">
        <v>14357</v>
      </c>
      <c r="H43" s="217">
        <v>0</v>
      </c>
      <c r="I43" s="218" t="s">
        <v>1826</v>
      </c>
      <c r="J43" s="218" t="s">
        <v>15475</v>
      </c>
      <c r="K43" s="267"/>
      <c r="L43" s="267"/>
      <c r="M43" s="267"/>
      <c r="N43" s="267"/>
      <c r="O43" s="267"/>
      <c r="P43" s="219"/>
      <c r="Q43" s="268"/>
      <c r="R43" s="216" t="str">
        <f ca="1">IF(ISERROR($V43),"",OFFSET('Smelter Look-up'!$C$4,$V43-4,0)&amp;"")</f>
        <v>Heraeus Metals Hong Kong Ltd.</v>
      </c>
      <c r="S43" s="224" t="str">
        <f t="shared" ca="1" si="0"/>
        <v>CN</v>
      </c>
      <c r="T43" s="224" t="str">
        <f ca="1">IF(B43="","",IF(ISERROR(MATCH($J43,SorP!$B$1:$B$6230,0)),"",INDIRECT("'SorP'!$A$"&amp;MATCH($J43,SorP!$B$1:$B$6230,0))))</f>
        <v>CN-HK</v>
      </c>
      <c r="U43" s="239"/>
      <c r="V43" s="269">
        <f>IF(C43="",NA(),MATCH($B43&amp;$C43,'Smelter Look-up'!$J:$J,0))</f>
        <v>91</v>
      </c>
      <c r="W43" s="270"/>
      <c r="X43" s="270">
        <f t="shared" si="1"/>
        <v>0</v>
      </c>
      <c r="Y43" s="270"/>
      <c r="Z43" s="270"/>
      <c r="AB43" s="272" t="str">
        <f t="shared" si="2"/>
        <v>GoldHeraeus Metals Hong Kong Ltd.</v>
      </c>
    </row>
    <row r="44" spans="1:28" s="271" customFormat="1" ht="76.5">
      <c r="A44" s="215"/>
      <c r="B44" s="216" t="s">
        <v>1250</v>
      </c>
      <c r="C44" s="220" t="s">
        <v>1353</v>
      </c>
      <c r="D44" s="216"/>
      <c r="E44" s="216" t="s">
        <v>1221</v>
      </c>
      <c r="F44" s="216" t="s">
        <v>772</v>
      </c>
      <c r="G44" s="216" t="s">
        <v>14357</v>
      </c>
      <c r="H44" s="217">
        <v>0</v>
      </c>
      <c r="I44" s="218" t="s">
        <v>1827</v>
      </c>
      <c r="J44" s="218" t="s">
        <v>4944</v>
      </c>
      <c r="K44" s="267"/>
      <c r="L44" s="267"/>
      <c r="M44" s="267"/>
      <c r="N44" s="267"/>
      <c r="O44" s="267"/>
      <c r="P44" s="219"/>
      <c r="Q44" s="268"/>
      <c r="R44" s="216" t="str">
        <f ca="1">IF(ISERROR($V44),"",OFFSET('Smelter Look-up'!$C$4,$V44-4,0)&amp;"")</f>
        <v>Heraeus Precious Metals GmbH &amp; Co. KG</v>
      </c>
      <c r="S44" s="224" t="str">
        <f t="shared" ca="1" si="0"/>
        <v>DE</v>
      </c>
      <c r="T44" s="224" t="str">
        <f ca="1">IF(B44="","",IF(ISERROR(MATCH($J44,SorP!$B$1:$B$6230,0)),"",INDIRECT("'SorP'!$A$"&amp;MATCH($J44,SorP!$B$1:$B$6230,0))))</f>
        <v>DE-HE</v>
      </c>
      <c r="U44" s="239"/>
      <c r="V44" s="269">
        <f>IF(C44="",NA(),MATCH($B44&amp;$C44,'Smelter Look-up'!$J:$J,0))</f>
        <v>92</v>
      </c>
      <c r="W44" s="270"/>
      <c r="X44" s="270">
        <f t="shared" si="1"/>
        <v>0</v>
      </c>
      <c r="Y44" s="270"/>
      <c r="Z44" s="270"/>
      <c r="AB44" s="272" t="str">
        <f t="shared" si="2"/>
        <v>GoldHeraeus Precious Metals GmbH &amp; Co. KG</v>
      </c>
    </row>
    <row r="45" spans="1:28" s="271" customFormat="1" ht="51">
      <c r="A45" s="215"/>
      <c r="B45" s="216" t="s">
        <v>1250</v>
      </c>
      <c r="C45" s="220" t="s">
        <v>1361</v>
      </c>
      <c r="D45" s="216"/>
      <c r="E45" s="216" t="s">
        <v>1005</v>
      </c>
      <c r="F45" s="216" t="s">
        <v>777</v>
      </c>
      <c r="G45" s="216" t="s">
        <v>14357</v>
      </c>
      <c r="H45" s="217">
        <v>0</v>
      </c>
      <c r="I45" s="218" t="s">
        <v>1833</v>
      </c>
      <c r="J45" s="218" t="s">
        <v>12140</v>
      </c>
      <c r="K45" s="267"/>
      <c r="L45" s="267"/>
      <c r="M45" s="267"/>
      <c r="N45" s="267"/>
      <c r="O45" s="267"/>
      <c r="P45" s="219"/>
      <c r="Q45" s="268"/>
      <c r="R45" s="216" t="str">
        <f ca="1">IF(ISERROR($V45),"",OFFSET('Smelter Look-up'!$C$4,$V45-4,0)&amp;"")</f>
        <v>Istanbul Gold Refinery</v>
      </c>
      <c r="S45" s="224" t="str">
        <f t="shared" ca="1" si="0"/>
        <v>TR</v>
      </c>
      <c r="T45" s="224" t="str">
        <f ca="1">IF(B45="","",IF(ISERROR(MATCH($J45,SorP!$B$1:$B$6230,0)),"",INDIRECT("'SorP'!$A$"&amp;MATCH($J45,SorP!$B$1:$B$6230,0))))</f>
        <v>TR-34</v>
      </c>
      <c r="U45" s="239"/>
      <c r="V45" s="269">
        <f>IF(C45="",NA(),MATCH($B45&amp;$C45,'Smelter Look-up'!$J:$J,0))</f>
        <v>102</v>
      </c>
      <c r="W45" s="270"/>
      <c r="X45" s="270">
        <f t="shared" si="1"/>
        <v>0</v>
      </c>
      <c r="Y45" s="270"/>
      <c r="Z45" s="270"/>
      <c r="AB45" s="272" t="str">
        <f t="shared" si="2"/>
        <v>GoldIstanbul Gold Refinery</v>
      </c>
    </row>
    <row r="46" spans="1:28" s="271" customFormat="1" ht="63.75">
      <c r="A46" s="215"/>
      <c r="B46" s="216" t="s">
        <v>1250</v>
      </c>
      <c r="C46" s="220" t="s">
        <v>2630</v>
      </c>
      <c r="D46" s="216"/>
      <c r="E46" s="216" t="s">
        <v>3092</v>
      </c>
      <c r="F46" s="216" t="s">
        <v>780</v>
      </c>
      <c r="G46" s="216" t="s">
        <v>14357</v>
      </c>
      <c r="H46" s="217">
        <v>0</v>
      </c>
      <c r="I46" s="218" t="s">
        <v>1837</v>
      </c>
      <c r="J46" s="218" t="s">
        <v>1838</v>
      </c>
      <c r="K46" s="267"/>
      <c r="L46" s="267"/>
      <c r="M46" s="267"/>
      <c r="N46" s="267"/>
      <c r="O46" s="267"/>
      <c r="P46" s="219"/>
      <c r="Q46" s="268"/>
      <c r="R46" s="216" t="str">
        <f ca="1">IF(ISERROR($V46),"",OFFSET('Smelter Look-up'!$C$4,$V46-4,0)&amp;"")</f>
        <v>Asahi Refining USA Inc.</v>
      </c>
      <c r="S46" s="224" t="str">
        <f t="shared" ca="1" si="0"/>
        <v>US</v>
      </c>
      <c r="T46" s="224" t="str">
        <f ca="1">IF(B46="","",IF(ISERROR(MATCH($J46,SorP!$B$1:$B$6230,0)),"",INDIRECT("'SorP'!$A$"&amp;MATCH($J46,SorP!$B$1:$B$6230,0))))</f>
        <v>US-UT</v>
      </c>
      <c r="U46" s="239"/>
      <c r="V46" s="269">
        <f>IF(C46="",NA(),MATCH($B46&amp;$C46,'Smelter Look-up'!$J:$J,0))</f>
        <v>26</v>
      </c>
      <c r="W46" s="270"/>
      <c r="X46" s="270">
        <f t="shared" si="1"/>
        <v>0</v>
      </c>
      <c r="Y46" s="270"/>
      <c r="Z46" s="270"/>
      <c r="AB46" s="272" t="str">
        <f t="shared" si="2"/>
        <v>GoldAsahi Refining USA Inc.</v>
      </c>
    </row>
    <row r="47" spans="1:28" s="271" customFormat="1" ht="63.75">
      <c r="A47" s="215"/>
      <c r="B47" s="216" t="s">
        <v>1250</v>
      </c>
      <c r="C47" s="220" t="s">
        <v>2908</v>
      </c>
      <c r="D47" s="216"/>
      <c r="E47" s="216" t="s">
        <v>1217</v>
      </c>
      <c r="F47" s="216" t="s">
        <v>781</v>
      </c>
      <c r="G47" s="216" t="s">
        <v>14357</v>
      </c>
      <c r="H47" s="217">
        <v>0</v>
      </c>
      <c r="I47" s="218" t="s">
        <v>1840</v>
      </c>
      <c r="J47" s="218" t="s">
        <v>1841</v>
      </c>
      <c r="K47" s="267"/>
      <c r="L47" s="267"/>
      <c r="M47" s="267"/>
      <c r="N47" s="267"/>
      <c r="O47" s="267"/>
      <c r="P47" s="219"/>
      <c r="Q47" s="268"/>
      <c r="R47" s="216" t="str">
        <f ca="1">IF(ISERROR($V47),"",OFFSET('Smelter Look-up'!$C$4,$V47-4,0)&amp;"")</f>
        <v>Asahi Refining Canada Ltd.</v>
      </c>
      <c r="S47" s="224" t="str">
        <f t="shared" ca="1" si="0"/>
        <v>CA</v>
      </c>
      <c r="T47" s="224" t="str">
        <f ca="1">IF(B47="","",IF(ISERROR(MATCH($J47,SorP!$B$1:$B$6230,0)),"",INDIRECT("'SorP'!$A$"&amp;MATCH($J47,SorP!$B$1:$B$6230,0))))</f>
        <v>CA-ON</v>
      </c>
      <c r="U47" s="239"/>
      <c r="V47" s="269">
        <f>IF(C47="",NA(),MATCH($B47&amp;$C47,'Smelter Look-up'!$J:$J,0))</f>
        <v>25</v>
      </c>
      <c r="W47" s="270"/>
      <c r="X47" s="270">
        <f t="shared" si="1"/>
        <v>0</v>
      </c>
      <c r="Y47" s="270"/>
      <c r="Z47" s="270"/>
      <c r="AB47" s="272" t="str">
        <f t="shared" si="2"/>
        <v>GoldAsahi Refining Canada Ltd.</v>
      </c>
    </row>
    <row r="48" spans="1:28" s="271" customFormat="1" ht="63.75">
      <c r="A48" s="215"/>
      <c r="B48" s="216" t="s">
        <v>1250</v>
      </c>
      <c r="C48" s="220" t="s">
        <v>786</v>
      </c>
      <c r="D48" s="216"/>
      <c r="E48" s="216" t="s">
        <v>3092</v>
      </c>
      <c r="F48" s="216" t="s">
        <v>787</v>
      </c>
      <c r="G48" s="216" t="s">
        <v>14357</v>
      </c>
      <c r="H48" s="217">
        <v>0</v>
      </c>
      <c r="I48" s="218" t="s">
        <v>1845</v>
      </c>
      <c r="J48" s="218" t="s">
        <v>1838</v>
      </c>
      <c r="K48" s="267"/>
      <c r="L48" s="267"/>
      <c r="M48" s="267"/>
      <c r="N48" s="267"/>
      <c r="O48" s="267"/>
      <c r="P48" s="219"/>
      <c r="Q48" s="268"/>
      <c r="R48" s="216" t="str">
        <f ca="1">IF(ISERROR($V48),"",OFFSET('Smelter Look-up'!$C$4,$V48-4,0)&amp;"")</f>
        <v>Kennecott Utah Copper LLC</v>
      </c>
      <c r="S48" s="224" t="str">
        <f t="shared" ca="1" si="0"/>
        <v>US</v>
      </c>
      <c r="T48" s="224" t="str">
        <f ca="1">IF(B48="","",IF(ISERROR(MATCH($J48,SorP!$B$1:$B$6230,0)),"",INDIRECT("'SorP'!$A$"&amp;MATCH($J48,SorP!$B$1:$B$6230,0))))</f>
        <v>US-UT</v>
      </c>
      <c r="U48" s="239"/>
      <c r="V48" s="269">
        <f>IF(C48="",NA(),MATCH($B48&amp;$C48,'Smelter Look-up'!$J:$J,0))</f>
        <v>117</v>
      </c>
      <c r="W48" s="270"/>
      <c r="X48" s="270">
        <f t="shared" si="1"/>
        <v>0</v>
      </c>
      <c r="Y48" s="270"/>
      <c r="Z48" s="270"/>
      <c r="AB48" s="272" t="str">
        <f t="shared" si="2"/>
        <v>GoldKennecott Utah Copper LLC</v>
      </c>
    </row>
    <row r="49" spans="1:28" s="271" customFormat="1" ht="89.25">
      <c r="A49" s="215"/>
      <c r="B49" s="216" t="s">
        <v>1250</v>
      </c>
      <c r="C49" s="220" t="s">
        <v>2560</v>
      </c>
      <c r="D49" s="216"/>
      <c r="E49" s="216" t="s">
        <v>1220</v>
      </c>
      <c r="F49" s="216" t="s">
        <v>797</v>
      </c>
      <c r="G49" s="216" t="s">
        <v>14357</v>
      </c>
      <c r="H49" s="217">
        <v>0</v>
      </c>
      <c r="I49" s="218" t="s">
        <v>1859</v>
      </c>
      <c r="J49" s="218" t="s">
        <v>15475</v>
      </c>
      <c r="K49" s="267"/>
      <c r="L49" s="267"/>
      <c r="M49" s="267"/>
      <c r="N49" s="267"/>
      <c r="O49" s="267"/>
      <c r="P49" s="219"/>
      <c r="Q49" s="268"/>
      <c r="R49" s="216" t="str">
        <f ca="1">IF(ISERROR($V49),"",OFFSET('Smelter Look-up'!$C$4,$V49-4,0)&amp;"")</f>
        <v>Metalor Technologies (Hong Kong) Ltd.</v>
      </c>
      <c r="S49" s="224" t="str">
        <f t="shared" ca="1" si="0"/>
        <v>CN</v>
      </c>
      <c r="T49" s="224" t="str">
        <f ca="1">IF(B49="","",IF(ISERROR(MATCH($J49,SorP!$B$1:$B$6230,0)),"",INDIRECT("'SorP'!$A$"&amp;MATCH($J49,SorP!$B$1:$B$6230,0))))</f>
        <v>CN-HK</v>
      </c>
      <c r="U49" s="239"/>
      <c r="V49" s="269">
        <f>IF(C49="",NA(),MATCH($B49&amp;$C49,'Smelter Look-up'!$J:$J,0))</f>
        <v>146</v>
      </c>
      <c r="W49" s="270"/>
      <c r="X49" s="270">
        <f t="shared" si="1"/>
        <v>0</v>
      </c>
      <c r="Y49" s="270"/>
      <c r="Z49" s="270"/>
      <c r="AB49" s="272" t="str">
        <f t="shared" si="2"/>
        <v>GoldMetalor Technologies (Hong Kong) Ltd.</v>
      </c>
    </row>
    <row r="50" spans="1:28" s="271" customFormat="1" ht="63.75">
      <c r="A50" s="215"/>
      <c r="B50" s="216" t="s">
        <v>1250</v>
      </c>
      <c r="C50" s="220" t="s">
        <v>2929</v>
      </c>
      <c r="D50" s="216"/>
      <c r="E50" s="216" t="s">
        <v>1218</v>
      </c>
      <c r="F50" s="216" t="s">
        <v>799</v>
      </c>
      <c r="G50" s="216" t="s">
        <v>14357</v>
      </c>
      <c r="H50" s="217">
        <v>0</v>
      </c>
      <c r="I50" s="218" t="s">
        <v>1860</v>
      </c>
      <c r="J50" s="218" t="s">
        <v>1861</v>
      </c>
      <c r="K50" s="267"/>
      <c r="L50" s="267"/>
      <c r="M50" s="267"/>
      <c r="N50" s="267"/>
      <c r="O50" s="267"/>
      <c r="P50" s="219"/>
      <c r="Q50" s="268"/>
      <c r="R50" s="216" t="str">
        <f ca="1">IF(ISERROR($V50),"",OFFSET('Smelter Look-up'!$C$4,$V50-4,0)&amp;"")</f>
        <v>Metalor Technologies S.A.</v>
      </c>
      <c r="S50" s="224" t="str">
        <f t="shared" ca="1" si="0"/>
        <v>CH</v>
      </c>
      <c r="T50" s="224" t="str">
        <f ca="1">IF(B50="","",IF(ISERROR(MATCH($J50,SorP!$B$1:$B$6230,0)),"",INDIRECT("'SorP'!$A$"&amp;MATCH($J50,SorP!$B$1:$B$6230,0))))</f>
        <v>CH-NE</v>
      </c>
      <c r="U50" s="239"/>
      <c r="V50" s="269">
        <f>IF(C50="",NA(),MATCH($B50&amp;$C50,'Smelter Look-up'!$J:$J,0))</f>
        <v>149</v>
      </c>
      <c r="W50" s="270"/>
      <c r="X50" s="270">
        <f t="shared" si="1"/>
        <v>0</v>
      </c>
      <c r="Y50" s="270"/>
      <c r="Z50" s="270"/>
      <c r="AB50" s="272" t="str">
        <f t="shared" si="2"/>
        <v>GoldMetalor Technologies S.A.</v>
      </c>
    </row>
    <row r="51" spans="1:28" s="271" customFormat="1" ht="63.75">
      <c r="A51" s="215"/>
      <c r="B51" s="216" t="s">
        <v>1250</v>
      </c>
      <c r="C51" s="220" t="s">
        <v>1355</v>
      </c>
      <c r="D51" s="216"/>
      <c r="E51" s="216" t="s">
        <v>3092</v>
      </c>
      <c r="F51" s="216" t="s">
        <v>800</v>
      </c>
      <c r="G51" s="216" t="s">
        <v>14357</v>
      </c>
      <c r="H51" s="217">
        <v>0</v>
      </c>
      <c r="I51" s="218" t="s">
        <v>1862</v>
      </c>
      <c r="J51" s="218" t="s">
        <v>1863</v>
      </c>
      <c r="K51" s="267"/>
      <c r="L51" s="267"/>
      <c r="M51" s="267"/>
      <c r="N51" s="267"/>
      <c r="O51" s="267"/>
      <c r="P51" s="219"/>
      <c r="Q51" s="268"/>
      <c r="R51" s="216" t="str">
        <f ca="1">IF(ISERROR($V51),"",OFFSET('Smelter Look-up'!$C$4,$V51-4,0)&amp;"")</f>
        <v>Metalor USA Refining Corporation</v>
      </c>
      <c r="S51" s="224" t="str">
        <f t="shared" ca="1" si="0"/>
        <v>US</v>
      </c>
      <c r="T51" s="224" t="str">
        <f ca="1">IF(B51="","",IF(ISERROR(MATCH($J51,SorP!$B$1:$B$6230,0)),"",INDIRECT("'SorP'!$A$"&amp;MATCH($J51,SorP!$B$1:$B$6230,0))))</f>
        <v>US-MA</v>
      </c>
      <c r="U51" s="239"/>
      <c r="V51" s="269">
        <f>IF(C51="",NA(),MATCH($B51&amp;$C51,'Smelter Look-up'!$J:$J,0))</f>
        <v>150</v>
      </c>
      <c r="W51" s="270"/>
      <c r="X51" s="270">
        <f t="shared" si="1"/>
        <v>0</v>
      </c>
      <c r="Y51" s="270"/>
      <c r="Z51" s="270"/>
      <c r="AB51" s="272" t="str">
        <f t="shared" si="2"/>
        <v>GoldMetalor USA Refining Corporation</v>
      </c>
    </row>
    <row r="52" spans="1:28" s="271" customFormat="1" ht="25.5">
      <c r="A52" s="215"/>
      <c r="B52" s="216" t="s">
        <v>1250</v>
      </c>
      <c r="C52" s="220" t="s">
        <v>2937</v>
      </c>
      <c r="D52" s="216"/>
      <c r="E52" s="216" t="s">
        <v>1218</v>
      </c>
      <c r="F52" s="216" t="s">
        <v>810</v>
      </c>
      <c r="G52" s="216" t="s">
        <v>14357</v>
      </c>
      <c r="H52" s="217">
        <v>0</v>
      </c>
      <c r="I52" s="218" t="s">
        <v>1879</v>
      </c>
      <c r="J52" s="218" t="s">
        <v>1786</v>
      </c>
      <c r="K52" s="267"/>
      <c r="L52" s="267"/>
      <c r="M52" s="267"/>
      <c r="N52" s="267"/>
      <c r="O52" s="267"/>
      <c r="P52" s="219"/>
      <c r="Q52" s="268"/>
      <c r="R52" s="216" t="str">
        <f ca="1">IF(ISERROR($V52),"",OFFSET('Smelter Look-up'!$C$4,$V52-4,0)&amp;"")</f>
        <v>PAMP S.A.</v>
      </c>
      <c r="S52" s="224" t="str">
        <f t="shared" ca="1" si="0"/>
        <v>CH</v>
      </c>
      <c r="T52" s="224" t="str">
        <f ca="1">IF(B52="","",IF(ISERROR(MATCH($J52,SorP!$B$1:$B$6230,0)),"",INDIRECT("'SorP'!$A$"&amp;MATCH($J52,SorP!$B$1:$B$6230,0))))</f>
        <v>CH-TI</v>
      </c>
      <c r="U52" s="239"/>
      <c r="V52" s="269">
        <f>IF(C52="",NA(),MATCH($B52&amp;$C52,'Smelter Look-up'!$J:$J,0))</f>
        <v>176</v>
      </c>
      <c r="W52" s="270"/>
      <c r="X52" s="270">
        <f t="shared" si="1"/>
        <v>0</v>
      </c>
      <c r="Y52" s="270"/>
      <c r="Z52" s="270"/>
      <c r="AB52" s="272" t="str">
        <f t="shared" si="2"/>
        <v>GoldPAMP S.A.</v>
      </c>
    </row>
    <row r="53" spans="1:28" s="271" customFormat="1" ht="51">
      <c r="A53" s="215"/>
      <c r="B53" s="216" t="s">
        <v>1250</v>
      </c>
      <c r="C53" s="220" t="s">
        <v>1029</v>
      </c>
      <c r="D53" s="216"/>
      <c r="E53" s="216" t="s">
        <v>1217</v>
      </c>
      <c r="F53" s="216" t="s">
        <v>816</v>
      </c>
      <c r="G53" s="216" t="s">
        <v>14357</v>
      </c>
      <c r="H53" s="217">
        <v>0</v>
      </c>
      <c r="I53" s="218" t="s">
        <v>1885</v>
      </c>
      <c r="J53" s="218" t="s">
        <v>1841</v>
      </c>
      <c r="K53" s="267"/>
      <c r="L53" s="267"/>
      <c r="M53" s="267"/>
      <c r="N53" s="267"/>
      <c r="O53" s="267"/>
      <c r="P53" s="219"/>
      <c r="Q53" s="268"/>
      <c r="R53" s="216" t="str">
        <f ca="1">IF(ISERROR($V53),"",OFFSET('Smelter Look-up'!$C$4,$V53-4,0)&amp;"")</f>
        <v>Royal Canadian Mint</v>
      </c>
      <c r="S53" s="224" t="str">
        <f t="shared" ca="1" si="0"/>
        <v>CA</v>
      </c>
      <c r="T53" s="224" t="str">
        <f ca="1">IF(B53="","",IF(ISERROR(MATCH($J53,SorP!$B$1:$B$6230,0)),"",INDIRECT("'SorP'!$A$"&amp;MATCH($J53,SorP!$B$1:$B$6230,0))))</f>
        <v>CA-ON</v>
      </c>
      <c r="U53" s="239"/>
      <c r="V53" s="269">
        <f>IF(C53="",NA(),MATCH($B53&amp;$C53,'Smelter Look-up'!$J:$J,0))</f>
        <v>194</v>
      </c>
      <c r="W53" s="270"/>
      <c r="X53" s="270">
        <f t="shared" si="1"/>
        <v>0</v>
      </c>
      <c r="Y53" s="270"/>
      <c r="Z53" s="270"/>
      <c r="AB53" s="272" t="str">
        <f t="shared" si="2"/>
        <v>GoldRoyal Canadian Mint</v>
      </c>
    </row>
    <row r="54" spans="1:28" s="271" customFormat="1" ht="102">
      <c r="A54" s="215"/>
      <c r="B54" s="216" t="s">
        <v>1250</v>
      </c>
      <c r="C54" s="220" t="s">
        <v>2570</v>
      </c>
      <c r="D54" s="216"/>
      <c r="E54" s="216" t="s">
        <v>1220</v>
      </c>
      <c r="F54" s="216" t="s">
        <v>820</v>
      </c>
      <c r="G54" s="216" t="s">
        <v>14357</v>
      </c>
      <c r="H54" s="217">
        <v>0</v>
      </c>
      <c r="I54" s="218" t="s">
        <v>1823</v>
      </c>
      <c r="J54" s="218" t="s">
        <v>15234</v>
      </c>
      <c r="K54" s="267"/>
      <c r="L54" s="267"/>
      <c r="M54" s="267"/>
      <c r="N54" s="267"/>
      <c r="O54" s="267"/>
      <c r="P54" s="219"/>
      <c r="Q54" s="268"/>
      <c r="R54" s="216" t="str">
        <f ca="1">IF(ISERROR($V54),"",OFFSET('Smelter Look-up'!$C$4,$V54-4,0)&amp;"")</f>
        <v>Shandong Zhaojin Gold &amp; Silver Refinery Co., Ltd.</v>
      </c>
      <c r="S54" s="224" t="str">
        <f t="shared" ca="1" si="0"/>
        <v>CN</v>
      </c>
      <c r="T54" s="224" t="str">
        <f ca="1">IF(B54="","",IF(ISERROR(MATCH($J54,SorP!$B$1:$B$6230,0)),"",INDIRECT("'SorP'!$A$"&amp;MATCH($J54,SorP!$B$1:$B$6230,0))))</f>
        <v>CN-SD</v>
      </c>
      <c r="U54" s="239"/>
      <c r="V54" s="269">
        <f>IF(C54="",NA(),MATCH($B54&amp;$C54,'Smelter Look-up'!$J:$J,0))</f>
        <v>215</v>
      </c>
      <c r="W54" s="270"/>
      <c r="X54" s="270">
        <f t="shared" si="1"/>
        <v>0</v>
      </c>
      <c r="Y54" s="270"/>
      <c r="Z54" s="270"/>
      <c r="AB54" s="272" t="str">
        <f t="shared" si="2"/>
        <v>GoldShandong Zhaojin Gold &amp; Silver Refinery Co., Ltd.</v>
      </c>
    </row>
    <row r="55" spans="1:28" s="271" customFormat="1" ht="63.75">
      <c r="A55" s="215"/>
      <c r="B55" s="216" t="s">
        <v>1250</v>
      </c>
      <c r="C55" s="220" t="s">
        <v>1359</v>
      </c>
      <c r="D55" s="216"/>
      <c r="E55" s="216" t="s">
        <v>1228</v>
      </c>
      <c r="F55" s="216" t="s">
        <v>824</v>
      </c>
      <c r="G55" s="216" t="s">
        <v>14357</v>
      </c>
      <c r="H55" s="217">
        <v>0</v>
      </c>
      <c r="I55" s="218" t="s">
        <v>1904</v>
      </c>
      <c r="J55" s="218" t="s">
        <v>1905</v>
      </c>
      <c r="K55" s="267"/>
      <c r="L55" s="267"/>
      <c r="M55" s="267"/>
      <c r="N55" s="267"/>
      <c r="O55" s="267"/>
      <c r="P55" s="219"/>
      <c r="Q55" s="268"/>
      <c r="R55" s="216" t="str">
        <f ca="1">IF(ISERROR($V55),"",OFFSET('Smelter Look-up'!$C$4,$V55-4,0)&amp;"")</f>
        <v>Tanaka Kikinzoku Kogyo K.K.</v>
      </c>
      <c r="S55" s="224" t="str">
        <f t="shared" ca="1" si="0"/>
        <v>JP</v>
      </c>
      <c r="T55" s="224" t="str">
        <f ca="1">IF(B55="","",IF(ISERROR(MATCH($J55,SorP!$B$1:$B$6230,0)),"",INDIRECT("'SorP'!$A$"&amp;MATCH($J55,SorP!$B$1:$B$6230,0))))</f>
        <v>JP-14</v>
      </c>
      <c r="U55" s="239"/>
      <c r="V55" s="269">
        <f>IF(C55="",NA(),MATCH($B55&amp;$C55,'Smelter Look-up'!$J:$J,0))</f>
        <v>243</v>
      </c>
      <c r="W55" s="270"/>
      <c r="X55" s="270">
        <f t="shared" si="1"/>
        <v>0</v>
      </c>
      <c r="Y55" s="270"/>
      <c r="Z55" s="270"/>
      <c r="AB55" s="272" t="str">
        <f t="shared" si="2"/>
        <v>GoldTanaka Kikinzoku Kogyo K.K.</v>
      </c>
    </row>
    <row r="56" spans="1:28" s="271" customFormat="1" ht="102">
      <c r="A56" s="215"/>
      <c r="B56" s="216" t="s">
        <v>1250</v>
      </c>
      <c r="C56" s="220" t="s">
        <v>2956</v>
      </c>
      <c r="D56" s="216"/>
      <c r="E56" s="216" t="s">
        <v>1215</v>
      </c>
      <c r="F56" s="216" t="s">
        <v>831</v>
      </c>
      <c r="G56" s="216" t="s">
        <v>14357</v>
      </c>
      <c r="H56" s="217">
        <v>0</v>
      </c>
      <c r="I56" s="218" t="s">
        <v>1917</v>
      </c>
      <c r="J56" s="218" t="s">
        <v>3852</v>
      </c>
      <c r="K56" s="267"/>
      <c r="L56" s="267"/>
      <c r="M56" s="267"/>
      <c r="N56" s="267"/>
      <c r="O56" s="267"/>
      <c r="P56" s="219"/>
      <c r="Q56" s="268"/>
      <c r="R56" s="216" t="str">
        <f ca="1">IF(ISERROR($V56),"",OFFSET('Smelter Look-up'!$C$4,$V56-4,0)&amp;"")</f>
        <v>Umicore S.A. Business Unit Precious Metals Refining</v>
      </c>
      <c r="S56" s="224" t="str">
        <f t="shared" ca="1" si="0"/>
        <v>BE</v>
      </c>
      <c r="T56" s="224" t="str">
        <f ca="1">IF(B56="","",IF(ISERROR(MATCH($J56,SorP!$B$1:$B$6230,0)),"",INDIRECT("'SorP'!$A$"&amp;MATCH($J56,SorP!$B$1:$B$6230,0))))</f>
        <v>BE-VAN</v>
      </c>
      <c r="U56" s="239"/>
      <c r="V56" s="269">
        <f>IF(C56="",NA(),MATCH($B56&amp;$C56,'Smelter Look-up'!$J:$J,0))</f>
        <v>258</v>
      </c>
      <c r="W56" s="270"/>
      <c r="X56" s="270">
        <f t="shared" si="1"/>
        <v>0</v>
      </c>
      <c r="Y56" s="270"/>
      <c r="Z56" s="270"/>
      <c r="AB56" s="272" t="str">
        <f t="shared" si="2"/>
        <v>GoldUmicore S.A. Business Unit Precious Metals Refining</v>
      </c>
    </row>
    <row r="57" spans="1:28" s="271" customFormat="1" ht="51">
      <c r="A57" s="215"/>
      <c r="B57" s="349" t="s">
        <v>1253</v>
      </c>
      <c r="C57" s="348" t="s">
        <v>2115</v>
      </c>
      <c r="D57" s="349" t="s">
        <v>15506</v>
      </c>
      <c r="E57" s="349" t="s">
        <v>3092</v>
      </c>
      <c r="F57" s="349" t="s">
        <v>15507</v>
      </c>
      <c r="G57" s="349" t="s">
        <v>15507</v>
      </c>
      <c r="H57" s="217" t="s">
        <v>15507</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US</v>
      </c>
      <c r="T57" s="224" t="str">
        <f ca="1">IF(B57="","",IF(ISERROR(MATCH($J57,SorP!$B$1:$B$6230,0)),"",INDIRECT("'SorP'!$A$"&amp;MATCH($J57,SorP!$B$1:$B$6230,0))))</f>
        <v/>
      </c>
      <c r="U57" s="239"/>
      <c r="V57" s="269" t="e">
        <f>IF(C57="",NA(),MATCH($B57&amp;$C57,'Smelter Look-up'!$J:$J,0))</f>
        <v>#N/A</v>
      </c>
      <c r="W57" s="270"/>
      <c r="X57" s="270">
        <f t="shared" si="1"/>
        <v>0</v>
      </c>
      <c r="Y57" s="270"/>
      <c r="Z57" s="270"/>
      <c r="AB57" s="272" t="str">
        <f t="shared" si="2"/>
        <v>TungstenSmelter not listed</v>
      </c>
    </row>
    <row r="58" spans="1:28" s="271" customFormat="1" ht="51">
      <c r="A58" s="215"/>
      <c r="B58" s="216" t="s">
        <v>1253</v>
      </c>
      <c r="C58" s="220" t="s">
        <v>2115</v>
      </c>
      <c r="D58" s="216" t="s">
        <v>15508</v>
      </c>
      <c r="E58" s="216" t="s">
        <v>3092</v>
      </c>
      <c r="F58" s="216" t="s">
        <v>15507</v>
      </c>
      <c r="G58" s="216" t="s">
        <v>15507</v>
      </c>
      <c r="H58" s="217" t="s">
        <v>15507</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US</v>
      </c>
      <c r="T58" s="224" t="str">
        <f ca="1">IF(B58="","",IF(ISERROR(MATCH($J58,SorP!$B$1:$B$6230,0)),"",INDIRECT("'SorP'!$A$"&amp;MATCH($J58,SorP!$B$1:$B$6230,0))))</f>
        <v/>
      </c>
      <c r="U58" s="239"/>
      <c r="V58" s="269" t="e">
        <f>IF(C58="",NA(),MATCH($B58&amp;$C58,'Smelter Look-up'!$J:$J,0))</f>
        <v>#N/A</v>
      </c>
      <c r="W58" s="270"/>
      <c r="X58" s="270">
        <f t="shared" si="1"/>
        <v>0</v>
      </c>
      <c r="Y58" s="270"/>
      <c r="Z58" s="270"/>
      <c r="AB58" s="272" t="str">
        <f t="shared" si="2"/>
        <v>TungstenSmelter not listed</v>
      </c>
    </row>
    <row r="59" spans="1:28" s="271" customFormat="1" ht="51">
      <c r="A59" s="215"/>
      <c r="B59" s="216" t="s">
        <v>1253</v>
      </c>
      <c r="C59" s="220" t="s">
        <v>2115</v>
      </c>
      <c r="D59" s="216" t="s">
        <v>15509</v>
      </c>
      <c r="E59" s="216" t="s">
        <v>1221</v>
      </c>
      <c r="F59" s="216" t="s">
        <v>15510</v>
      </c>
      <c r="G59" s="216" t="s">
        <v>15501</v>
      </c>
      <c r="H59" s="217" t="s">
        <v>15507</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DE</v>
      </c>
      <c r="T59" s="224" t="str">
        <f ca="1">IF(B59="","",IF(ISERROR(MATCH($J59,SorP!$B$1:$B$6230,0)),"",INDIRECT("'SorP'!$A$"&amp;MATCH($J59,SorP!$B$1:$B$6230,0))))</f>
        <v/>
      </c>
      <c r="U59" s="239"/>
      <c r="V59" s="269" t="e">
        <f>IF(C59="",NA(),MATCH($B59&amp;$C59,'Smelter Look-up'!$J:$J,0))</f>
        <v>#N/A</v>
      </c>
      <c r="W59" s="270"/>
      <c r="X59" s="270">
        <f t="shared" si="1"/>
        <v>0</v>
      </c>
      <c r="Y59" s="270"/>
      <c r="Z59" s="270"/>
      <c r="AB59" s="272" t="str">
        <f t="shared" si="2"/>
        <v>TungstenSmelter not listed</v>
      </c>
    </row>
    <row r="60" spans="1:28" s="271" customFormat="1" ht="38.25">
      <c r="A60" s="215"/>
      <c r="B60" s="216" t="s">
        <v>1250</v>
      </c>
      <c r="C60" s="220" t="s">
        <v>2115</v>
      </c>
      <c r="D60" s="216" t="s">
        <v>15511</v>
      </c>
      <c r="E60" s="216" t="s">
        <v>3092</v>
      </c>
      <c r="F60" s="216" t="s">
        <v>15507</v>
      </c>
      <c r="G60" s="216" t="s">
        <v>15507</v>
      </c>
      <c r="H60" s="217">
        <v>0</v>
      </c>
      <c r="I60" s="218">
        <f ca="1">IF(ISERROR($V60),"",OFFSET('Smelter Look-up'!$H$4,$V60-4,0))</f>
        <v>0</v>
      </c>
      <c r="J60" s="218">
        <f ca="1">IF(ISERROR($V60),"",OFFSET('Smelter Look-up'!$I$4,$V60-4,0))</f>
        <v>0</v>
      </c>
      <c r="K60" s="267"/>
      <c r="L60" s="267"/>
      <c r="M60" s="267"/>
      <c r="N60" s="267"/>
      <c r="O60" s="267"/>
      <c r="P60" s="219"/>
      <c r="Q60" s="268"/>
      <c r="R60" s="216" t="str">
        <f ca="1">IF(ISERROR($V60),"",OFFSET('Smelter Look-up'!$C$4,$V60-4,0)&amp;"")</f>
        <v/>
      </c>
      <c r="S60" s="224" t="str">
        <f t="shared" ca="1" si="0"/>
        <v>US</v>
      </c>
      <c r="T60" s="224" t="str">
        <f ca="1">IF(B60="","",IF(ISERROR(MATCH($J60,SorP!$B$1:$B$6230,0)),"",INDIRECT("'SorP'!$A$"&amp;MATCH($J60,SorP!$B$1:$B$6230,0))))</f>
        <v/>
      </c>
      <c r="U60" s="239"/>
      <c r="V60" s="269">
        <f>IF(C60="",NA(),MATCH($B60&amp;$C60,'Smelter Look-up'!$J:$J,0))</f>
        <v>284</v>
      </c>
      <c r="W60" s="270"/>
      <c r="X60" s="270">
        <f t="shared" si="1"/>
        <v>0</v>
      </c>
      <c r="Y60" s="270"/>
      <c r="Z60" s="270"/>
      <c r="AB60" s="272" t="str">
        <f t="shared" si="2"/>
        <v>GoldSmelter not listed</v>
      </c>
    </row>
    <row r="61" spans="1:28" s="271" customFormat="1" ht="51">
      <c r="A61" s="215"/>
      <c r="B61" s="216" t="s">
        <v>1253</v>
      </c>
      <c r="C61" s="220" t="s">
        <v>2115</v>
      </c>
      <c r="D61" s="216" t="s">
        <v>15512</v>
      </c>
      <c r="E61" s="216" t="s">
        <v>3092</v>
      </c>
      <c r="F61" s="216" t="s">
        <v>15507</v>
      </c>
      <c r="G61" s="216" t="s">
        <v>15507</v>
      </c>
      <c r="H61" s="217" t="s">
        <v>15507</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US</v>
      </c>
      <c r="T61" s="224" t="str">
        <f ca="1">IF(B61="","",IF(ISERROR(MATCH($J61,SorP!$B$1:$B$6230,0)),"",INDIRECT("'SorP'!$A$"&amp;MATCH($J61,SorP!$B$1:$B$6230,0))))</f>
        <v/>
      </c>
      <c r="U61" s="239"/>
      <c r="V61" s="269" t="e">
        <f>IF(C61="",NA(),MATCH($B61&amp;$C61,'Smelter Look-up'!$J:$J,0))</f>
        <v>#N/A</v>
      </c>
      <c r="W61" s="270"/>
      <c r="X61" s="270">
        <f t="shared" si="1"/>
        <v>0</v>
      </c>
      <c r="Y61" s="270"/>
      <c r="Z61" s="270"/>
      <c r="AB61" s="272" t="str">
        <f t="shared" si="2"/>
        <v>TungstenSmelter not listed</v>
      </c>
    </row>
    <row r="62" spans="1:28" s="271" customFormat="1" ht="51">
      <c r="A62" s="215"/>
      <c r="B62" s="216" t="s">
        <v>1253</v>
      </c>
      <c r="C62" s="220" t="s">
        <v>2115</v>
      </c>
      <c r="D62" s="216" t="s">
        <v>15513</v>
      </c>
      <c r="E62" s="216" t="s">
        <v>3092</v>
      </c>
      <c r="F62" s="216" t="s">
        <v>15507</v>
      </c>
      <c r="G62" s="216" t="s">
        <v>15507</v>
      </c>
      <c r="H62" s="217" t="s">
        <v>15507</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US</v>
      </c>
      <c r="T62" s="224" t="str">
        <f ca="1">IF(B62="","",IF(ISERROR(MATCH($J62,SorP!$B$1:$B$6230,0)),"",INDIRECT("'SorP'!$A$"&amp;MATCH($J62,SorP!$B$1:$B$6230,0))))</f>
        <v/>
      </c>
      <c r="U62" s="239"/>
      <c r="V62" s="269" t="e">
        <f>IF(C62="",NA(),MATCH($B62&amp;$C62,'Smelter Look-up'!$J:$J,0))</f>
        <v>#N/A</v>
      </c>
      <c r="W62" s="270"/>
      <c r="X62" s="270">
        <f t="shared" si="1"/>
        <v>0</v>
      </c>
      <c r="Y62" s="270"/>
      <c r="Z62" s="270"/>
      <c r="AB62" s="272" t="str">
        <f t="shared" si="2"/>
        <v>TungstenSmelter not listed</v>
      </c>
    </row>
    <row r="63" spans="1:28" s="271" customFormat="1" ht="51">
      <c r="A63" s="215"/>
      <c r="B63" s="216" t="s">
        <v>1253</v>
      </c>
      <c r="C63" s="220" t="s">
        <v>2115</v>
      </c>
      <c r="D63" s="216" t="s">
        <v>15514</v>
      </c>
      <c r="E63" s="216" t="s">
        <v>3092</v>
      </c>
      <c r="F63" s="216" t="s">
        <v>15507</v>
      </c>
      <c r="G63" s="216" t="s">
        <v>15507</v>
      </c>
      <c r="H63" s="217" t="s">
        <v>15507</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US</v>
      </c>
      <c r="T63" s="224" t="str">
        <f ca="1">IF(B63="","",IF(ISERROR(MATCH($J63,SorP!$B$1:$B$6230,0)),"",INDIRECT("'SorP'!$A$"&amp;MATCH($J63,SorP!$B$1:$B$6230,0))))</f>
        <v/>
      </c>
      <c r="U63" s="239"/>
      <c r="V63" s="269" t="e">
        <f>IF(C63="",NA(),MATCH($B63&amp;$C63,'Smelter Look-up'!$J:$J,0))</f>
        <v>#N/A</v>
      </c>
      <c r="W63" s="270"/>
      <c r="X63" s="270">
        <f t="shared" si="1"/>
        <v>0</v>
      </c>
      <c r="Y63" s="270"/>
      <c r="Z63" s="270"/>
      <c r="AB63" s="272" t="str">
        <f t="shared" si="2"/>
        <v>TungstenSmelter not listed</v>
      </c>
    </row>
    <row r="64" spans="1:28" s="271" customFormat="1" ht="51">
      <c r="A64" s="215"/>
      <c r="B64" s="216" t="s">
        <v>1253</v>
      </c>
      <c r="C64" s="220" t="s">
        <v>2115</v>
      </c>
      <c r="D64" s="216" t="s">
        <v>15515</v>
      </c>
      <c r="E64" s="216" t="s">
        <v>3092</v>
      </c>
      <c r="F64" s="216" t="s">
        <v>15507</v>
      </c>
      <c r="G64" s="216" t="s">
        <v>15507</v>
      </c>
      <c r="H64" s="217" t="s">
        <v>15507</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US</v>
      </c>
      <c r="T64" s="224" t="str">
        <f ca="1">IF(B64="","",IF(ISERROR(MATCH($J64,SorP!$B$1:$B$6230,0)),"",INDIRECT("'SorP'!$A$"&amp;MATCH($J64,SorP!$B$1:$B$6230,0))))</f>
        <v/>
      </c>
      <c r="U64" s="239"/>
      <c r="V64" s="269" t="e">
        <f>IF(C64="",NA(),MATCH($B64&amp;$C64,'Smelter Look-up'!$J:$J,0))</f>
        <v>#N/A</v>
      </c>
      <c r="W64" s="270"/>
      <c r="X64" s="270">
        <f t="shared" si="1"/>
        <v>0</v>
      </c>
      <c r="Y64" s="270"/>
      <c r="Z64" s="270"/>
      <c r="AB64" s="272" t="str">
        <f t="shared" si="2"/>
        <v>TungstenSmelter not listed</v>
      </c>
    </row>
    <row r="65" spans="1:28" s="271" customFormat="1" ht="51">
      <c r="A65" s="215"/>
      <c r="B65" s="216" t="s">
        <v>1253</v>
      </c>
      <c r="C65" s="220" t="s">
        <v>2115</v>
      </c>
      <c r="D65" s="216" t="s">
        <v>15516</v>
      </c>
      <c r="E65" s="216" t="s">
        <v>1224</v>
      </c>
      <c r="F65" s="216" t="s">
        <v>15507</v>
      </c>
      <c r="G65" s="216" t="s">
        <v>15507</v>
      </c>
      <c r="H65" s="217" t="s">
        <v>15507</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FR</v>
      </c>
      <c r="T65" s="224" t="str">
        <f ca="1">IF(B65="","",IF(ISERROR(MATCH($J65,SorP!$B$1:$B$6230,0)),"",INDIRECT("'SorP'!$A$"&amp;MATCH($J65,SorP!$B$1:$B$6230,0))))</f>
        <v/>
      </c>
      <c r="U65" s="239"/>
      <c r="V65" s="269" t="e">
        <f>IF(C65="",NA(),MATCH($B65&amp;$C65,'Smelter Look-up'!$J:$J,0))</f>
        <v>#N/A</v>
      </c>
      <c r="W65" s="270"/>
      <c r="X65" s="270">
        <f t="shared" si="1"/>
        <v>0</v>
      </c>
      <c r="Y65" s="270"/>
      <c r="Z65" s="270"/>
      <c r="AB65" s="272" t="str">
        <f t="shared" si="2"/>
        <v>TungstenSmelter not listed</v>
      </c>
    </row>
    <row r="66" spans="1:28" s="271" customFormat="1" ht="51">
      <c r="A66" s="215"/>
      <c r="B66" s="216" t="s">
        <v>1253</v>
      </c>
      <c r="C66" s="220" t="s">
        <v>2115</v>
      </c>
      <c r="D66" s="216" t="s">
        <v>15517</v>
      </c>
      <c r="E66" s="216" t="s">
        <v>1220</v>
      </c>
      <c r="F66" s="216" t="s">
        <v>15518</v>
      </c>
      <c r="G66" s="216" t="s">
        <v>15501</v>
      </c>
      <c r="H66" s="217" t="s">
        <v>15507</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CN</v>
      </c>
      <c r="T66" s="224" t="str">
        <f ca="1">IF(B66="","",IF(ISERROR(MATCH($J66,SorP!$B$1:$B$6230,0)),"",INDIRECT("'SorP'!$A$"&amp;MATCH($J66,SorP!$B$1:$B$6230,0))))</f>
        <v/>
      </c>
      <c r="U66" s="239"/>
      <c r="V66" s="269" t="e">
        <f>IF(C66="",NA(),MATCH($B66&amp;$C66,'Smelter Look-up'!$J:$J,0))</f>
        <v>#N/A</v>
      </c>
      <c r="W66" s="270"/>
      <c r="X66" s="270">
        <f t="shared" si="1"/>
        <v>0</v>
      </c>
      <c r="Y66" s="270"/>
      <c r="Z66" s="270"/>
      <c r="AB66" s="272" t="str">
        <f t="shared" si="2"/>
        <v>TungstenSmelter not listed</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72" priority="57" stopIfTrue="1">
      <formula>IF(B586="",TRUE)</formula>
    </cfRule>
    <cfRule type="expression" dxfId="71" priority="68" stopIfTrue="1">
      <formula>IF(AND(COUNTIF(MetalSmelter,B586&amp;C586)=0,LEN(C586)&gt;0), TRUE, FALSE)</formula>
    </cfRule>
  </conditionalFormatting>
  <conditionalFormatting sqref="D586:D2493">
    <cfRule type="expression" dxfId="70" priority="51" stopIfTrue="1">
      <formula>IF(AND(LEN($C586) &gt;0, ($C586 &lt;&gt; "Smelter Not Listed")),1,0)</formula>
    </cfRule>
    <cfRule type="expression" dxfId="69" priority="76" stopIfTrue="1">
      <formula>IF(AND(D586="",$C586=$X$4),TRUE)</formula>
    </cfRule>
    <cfRule type="expression" dxfId="68" priority="77" stopIfTrue="1">
      <formula>IF(FIND("!",D586),TRUE)</formula>
    </cfRule>
  </conditionalFormatting>
  <conditionalFormatting sqref="G586:G2493">
    <cfRule type="expression" dxfId="67" priority="78" stopIfTrue="1">
      <formula>IF(FIND("Enter smelter details",G586),TRUE)</formula>
    </cfRule>
  </conditionalFormatting>
  <conditionalFormatting sqref="R586:R2494 E586:E2493">
    <cfRule type="expression" dxfId="66" priority="64" stopIfTrue="1">
      <formula>IF(AND(E586="",$C586=$X$4),TRUE)</formula>
    </cfRule>
    <cfRule type="expression" dxfId="65" priority="65" stopIfTrue="1">
      <formula>IF(FIND("!",E586),TRUE)</formula>
    </cfRule>
  </conditionalFormatting>
  <conditionalFormatting sqref="F586:F2493">
    <cfRule type="expression" dxfId="64" priority="55" stopIfTrue="1">
      <formula>IF(AND(LEN($A586)&gt;0,$A586&lt;&gt;$F586),TRUE,FALSE)</formula>
    </cfRule>
  </conditionalFormatting>
  <conditionalFormatting sqref="C586:C2493">
    <cfRule type="expression" dxfId="63" priority="54" stopIfTrue="1">
      <formula>IF(AND(B586&lt;&gt;"",C586=""),TRUE)</formula>
    </cfRule>
  </conditionalFormatting>
  <conditionalFormatting sqref="B67:B585">
    <cfRule type="expression" dxfId="62" priority="33" stopIfTrue="1">
      <formula>IF(B67="",TRUE)</formula>
    </cfRule>
    <cfRule type="expression" dxfId="61" priority="36" stopIfTrue="1">
      <formula>IF(AND(COUNTIF(MetalSmelter,B67&amp;C67)=0,LEN(C67)&gt;0), TRUE, FALSE)</formula>
    </cfRule>
  </conditionalFormatting>
  <conditionalFormatting sqref="D67:D585">
    <cfRule type="expression" dxfId="60" priority="30" stopIfTrue="1">
      <formula>IF(AND(LEN($C67) &gt;0, ($C67 &lt;&gt; "Smelter Not Listed")),1,0)</formula>
    </cfRule>
    <cfRule type="expression" dxfId="59" priority="37" stopIfTrue="1">
      <formula>IF(AND(D67="",$C67=$X$4),TRUE)</formula>
    </cfRule>
    <cfRule type="expression" dxfId="58" priority="38" stopIfTrue="1">
      <formula>IF(FIND("!",D67),TRUE)</formula>
    </cfRule>
  </conditionalFormatting>
  <conditionalFormatting sqref="G67:G585">
    <cfRule type="expression" dxfId="57" priority="39" stopIfTrue="1">
      <formula>IF(FIND("Enter smelter details",G67),TRUE)</formula>
    </cfRule>
  </conditionalFormatting>
  <conditionalFormatting sqref="R5:R585 E67:E585">
    <cfRule type="expression" dxfId="56" priority="34" stopIfTrue="1">
      <formula>IF(AND(E5="",$C5=$X$4),TRUE)</formula>
    </cfRule>
    <cfRule type="expression" dxfId="55" priority="35" stopIfTrue="1">
      <formula>IF(FIND("!",E5),TRUE)</formula>
    </cfRule>
  </conditionalFormatting>
  <conditionalFormatting sqref="F67:F585">
    <cfRule type="expression" dxfId="54" priority="32" stopIfTrue="1">
      <formula>IF(AND(LEN($A67)&gt;0,$A67&lt;&gt;$F67),TRUE,FALSE)</formula>
    </cfRule>
  </conditionalFormatting>
  <conditionalFormatting sqref="C67:C585">
    <cfRule type="expression" dxfId="53" priority="31" stopIfTrue="1">
      <formula>IF(AND(B67&lt;&gt;"",C67=""),TRUE)</formula>
    </cfRule>
  </conditionalFormatting>
  <conditionalFormatting sqref="B5:B32">
    <cfRule type="expression" dxfId="52" priority="23" stopIfTrue="1">
      <formula>IF(B5="",TRUE)</formula>
    </cfRule>
    <cfRule type="expression" dxfId="51" priority="26" stopIfTrue="1">
      <formula>IF(AND(COUNTIF(MetalSmelter,B5&amp;C5)=0,LEN(C5)&gt;0), TRUE, FALSE)</formula>
    </cfRule>
  </conditionalFormatting>
  <conditionalFormatting sqref="D5:D32">
    <cfRule type="expression" dxfId="50" priority="20" stopIfTrue="1">
      <formula>IF(AND(LEN($C5) &gt;0, ($C5 &lt;&gt; "Smelter Not Listed")),1,0)</formula>
    </cfRule>
    <cfRule type="expression" dxfId="49" priority="27" stopIfTrue="1">
      <formula>IF(AND(D5="",$C5=$X$4),TRUE)</formula>
    </cfRule>
    <cfRule type="expression" dxfId="48" priority="28" stopIfTrue="1">
      <formula>IF(FIND("!",D5),TRUE)</formula>
    </cfRule>
  </conditionalFormatting>
  <conditionalFormatting sqref="G5:G32">
    <cfRule type="expression" dxfId="47" priority="29" stopIfTrue="1">
      <formula>IF(FIND("Enter smelter details",G5),TRUE)</formula>
    </cfRule>
  </conditionalFormatting>
  <conditionalFormatting sqref="E5:E32">
    <cfRule type="expression" dxfId="46" priority="24" stopIfTrue="1">
      <formula>IF(AND(E5="",$C5=$X$4),TRUE)</formula>
    </cfRule>
    <cfRule type="expression" dxfId="45" priority="25" stopIfTrue="1">
      <formula>IF(FIND("!",E5),TRUE)</formula>
    </cfRule>
  </conditionalFormatting>
  <conditionalFormatting sqref="F5:F32">
    <cfRule type="expression" dxfId="44" priority="22" stopIfTrue="1">
      <formula>IF(AND(LEN($A5)&gt;0,$A5&lt;&gt;$F5),TRUE,FALSE)</formula>
    </cfRule>
  </conditionalFormatting>
  <conditionalFormatting sqref="C5:C32">
    <cfRule type="expression" dxfId="43" priority="21" stopIfTrue="1">
      <formula>IF(AND(B5&lt;&gt;"",C5=""),TRUE)</formula>
    </cfRule>
  </conditionalFormatting>
  <conditionalFormatting sqref="D33:D56">
    <cfRule type="expression" dxfId="42" priority="13" stopIfTrue="1">
      <formula>IF(AND(LEN($C33) &gt;0, ($C33 &lt;&gt; "Smelter Not Listed")),1,0)</formula>
    </cfRule>
    <cfRule type="expression" dxfId="41" priority="17" stopIfTrue="1">
      <formula>IF(AND(D33="",$C33=$X$4),TRUE)</formula>
    </cfRule>
    <cfRule type="expression" dxfId="40" priority="18" stopIfTrue="1">
      <formula>IF(FIND("!",D33),TRUE)</formula>
    </cfRule>
  </conditionalFormatting>
  <conditionalFormatting sqref="G33:G56">
    <cfRule type="expression" dxfId="39" priority="19" stopIfTrue="1">
      <formula>IF(FIND("Enter smelter details",G33),TRUE)</formula>
    </cfRule>
  </conditionalFormatting>
  <conditionalFormatting sqref="E33:E56">
    <cfRule type="expression" dxfId="38" priority="15" stopIfTrue="1">
      <formula>IF(AND(E33="",$C33=$X$4),TRUE)</formula>
    </cfRule>
    <cfRule type="expression" dxfId="37" priority="16" stopIfTrue="1">
      <formula>IF(FIND("!",E33),TRUE)</formula>
    </cfRule>
  </conditionalFormatting>
  <conditionalFormatting sqref="F33:F56">
    <cfRule type="expression" dxfId="36" priority="14" stopIfTrue="1">
      <formula>IF(AND(LEN($A33)&gt;0,$A33&lt;&gt;$F33),TRUE,FALSE)</formula>
    </cfRule>
  </conditionalFormatting>
  <conditionalFormatting sqref="C34:C56">
    <cfRule type="expression" dxfId="35" priority="12" stopIfTrue="1">
      <formula>IF(AND(B34&lt;&gt;"",C34=""),TRUE)</formula>
    </cfRule>
  </conditionalFormatting>
  <conditionalFormatting sqref="C33">
    <cfRule type="expression" dxfId="34" priority="11" stopIfTrue="1">
      <formula>IF(AND(B33&lt;&gt;"",C33=""),TRUE)</formula>
    </cfRule>
  </conditionalFormatting>
  <conditionalFormatting sqref="B57:B66">
    <cfRule type="expression" dxfId="33" priority="4" stopIfTrue="1">
      <formula>IF(B57="",TRUE)</formula>
    </cfRule>
    <cfRule type="expression" dxfId="32" priority="7" stopIfTrue="1">
      <formula>IF(AND(COUNTIF(MetalSmelter,B57&amp;C57)=0,LEN(C57)&gt;0), TRUE, FALSE)</formula>
    </cfRule>
  </conditionalFormatting>
  <conditionalFormatting sqref="D57:D66">
    <cfRule type="expression" dxfId="31" priority="1" stopIfTrue="1">
      <formula>IF(AND(LEN($C57) &gt;0, ($C57 &lt;&gt; "Smelter Not Listed")),1,0)</formula>
    </cfRule>
    <cfRule type="expression" dxfId="30" priority="8" stopIfTrue="1">
      <formula>IF(AND(D57="",$C57=$X$4),TRUE)</formula>
    </cfRule>
    <cfRule type="expression" dxfId="29" priority="9" stopIfTrue="1">
      <formula>IF(FIND("!",D57),TRUE)</formula>
    </cfRule>
  </conditionalFormatting>
  <conditionalFormatting sqref="G57:G66">
    <cfRule type="expression" dxfId="28" priority="10" stopIfTrue="1">
      <formula>IF(FIND("Enter smelter details",G57),TRUE)</formula>
    </cfRule>
  </conditionalFormatting>
  <conditionalFormatting sqref="E57:E66">
    <cfRule type="expression" dxfId="27" priority="5" stopIfTrue="1">
      <formula>IF(AND(E57="",$C57=$X$4),TRUE)</formula>
    </cfRule>
    <cfRule type="expression" dxfId="26" priority="6" stopIfTrue="1">
      <formula>IF(FIND("!",E57),TRUE)</formula>
    </cfRule>
  </conditionalFormatting>
  <conditionalFormatting sqref="F57:F66">
    <cfRule type="expression" dxfId="25" priority="3" stopIfTrue="1">
      <formula>IF(AND(LEN($A57)&gt;0,$A57&lt;&gt;$F57),TRUE,FALSE)</formula>
    </cfRule>
  </conditionalFormatting>
  <conditionalFormatting sqref="C57:C66">
    <cfRule type="expression" dxfId="24" priority="2" stopIfTrue="1">
      <formula>IF(AND(B57&lt;&gt;"",C57=""),TRUE)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Connection Technology Center</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Vibration Analysis Software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Colin Walker</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cwalker@ctconline.com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585-924-5900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Colin Walker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cwalker@ctconline.com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585-924-5900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43809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2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49"/>
    </row>
    <row r="2" spans="1:6">
      <c r="A2" s="29"/>
      <c r="B2" s="151"/>
      <c r="C2" s="151"/>
      <c r="D2"/>
      <c r="E2" s="30"/>
    </row>
    <row r="3" spans="1:6">
      <c r="A3" s="29"/>
      <c r="B3" s="151"/>
      <c r="C3" s="151"/>
      <c r="D3" s="151"/>
      <c r="E3" s="30"/>
    </row>
    <row r="4" spans="1:6" ht="15.75" customHeight="1">
      <c r="A4" s="29"/>
      <c r="B4" s="444" t="s">
        <v>1014</v>
      </c>
      <c r="C4" s="444"/>
      <c r="D4" s="444"/>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7" t="str">
        <f ca="1">OFFSET(L!$C$1,MATCH("General"&amp;"Cpy",L!$A:$A,0)-1,SL,,)</f>
        <v>© 2019 Responsible Minerals Initiative. All rights reserved.</v>
      </c>
      <c r="C1001" s="447"/>
      <c r="D1001" s="447"/>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52"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Walker, Colin</cp:lastModifiedBy>
  <cp:lastPrinted>2020-01-31T20:06:23Z</cp:lastPrinted>
  <dcterms:created xsi:type="dcterms:W3CDTF">2010-06-21T21:00:23Z</dcterms:created>
  <dcterms:modified xsi:type="dcterms:W3CDTF">2020-03-19T14:40:58Z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